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Questa_cartella_di_lavoro" defaultThemeVersion="124226"/>
  <mc:AlternateContent xmlns:mc="http://schemas.openxmlformats.org/markup-compatibility/2006">
    <mc:Choice Requires="x15">
      <x15ac:absPath xmlns:x15ac="http://schemas.microsoft.com/office/spreadsheetml/2010/11/ac" url="C:\Users\Giuseppe Marzo\Documents\Università\Ferrara\2019-2020\Financial Management\Slides, cases, articles and readings\Assigned Cases\Star (Investment&amp;Accounting)\"/>
    </mc:Choice>
  </mc:AlternateContent>
  <bookViews>
    <workbookView xWindow="240" yWindow="165" windowWidth="10830" windowHeight="6045" firstSheet="1" activeTab="2"/>
    <workbookView xWindow="0" yWindow="0" windowWidth="28800" windowHeight="12450" firstSheet="1" activeTab="2"/>
  </bookViews>
  <sheets>
    <sheet name="STAR" sheetId="5" state="hidden" r:id="rId1"/>
    <sheet name="STAR (text)" sheetId="14" r:id="rId2"/>
    <sheet name="STAR (solution)" sheetId="15" r:id="rId3"/>
  </sheets>
  <definedNames>
    <definedName name="solver_adj" localSheetId="0" hidden="1">STAR!$I$1</definedName>
    <definedName name="solver_adj" localSheetId="2" hidden="1">'STAR (solution)'!$F$23</definedName>
    <definedName name="solver_cvg" localSheetId="0" hidden="1">0.0001</definedName>
    <definedName name="solver_cvg" localSheetId="2" hidden="1">0.0001</definedName>
    <definedName name="solver_drv" localSheetId="0" hidden="1">1</definedName>
    <definedName name="solver_drv" localSheetId="2" hidden="1">1</definedName>
    <definedName name="solver_eng" localSheetId="0" hidden="1">1</definedName>
    <definedName name="solver_eng" localSheetId="2" hidden="1">1</definedName>
    <definedName name="solver_est" localSheetId="0" hidden="1">1</definedName>
    <definedName name="solver_est" localSheetId="2" hidden="1">1</definedName>
    <definedName name="solver_itr" localSheetId="0" hidden="1">2147483647</definedName>
    <definedName name="solver_itr" localSheetId="2" hidden="1">2147483647</definedName>
    <definedName name="solver_mip" localSheetId="0" hidden="1">2147483647</definedName>
    <definedName name="solver_mip" localSheetId="2" hidden="1">2147483647</definedName>
    <definedName name="solver_mni" localSheetId="0" hidden="1">30</definedName>
    <definedName name="solver_mni" localSheetId="2" hidden="1">30</definedName>
    <definedName name="solver_mrt" localSheetId="0" hidden="1">0.075</definedName>
    <definedName name="solver_mrt" localSheetId="2" hidden="1">0.075</definedName>
    <definedName name="solver_msl" localSheetId="0" hidden="1">2</definedName>
    <definedName name="solver_msl" localSheetId="2" hidden="1">2</definedName>
    <definedName name="solver_neg" localSheetId="0" hidden="1">1</definedName>
    <definedName name="solver_neg" localSheetId="2" hidden="1">1</definedName>
    <definedName name="solver_nod" localSheetId="0" hidden="1">2147483647</definedName>
    <definedName name="solver_nod" localSheetId="2" hidden="1">2147483647</definedName>
    <definedName name="solver_num" localSheetId="0" hidden="1">0</definedName>
    <definedName name="solver_num" localSheetId="2" hidden="1">0</definedName>
    <definedName name="solver_nwt" localSheetId="0" hidden="1">1</definedName>
    <definedName name="solver_nwt" localSheetId="2" hidden="1">1</definedName>
    <definedName name="solver_opt" localSheetId="0" hidden="1">STAR!$I$21</definedName>
    <definedName name="solver_opt" localSheetId="2" hidden="1">'STAR (solution)'!$B$44</definedName>
    <definedName name="solver_pre" localSheetId="0" hidden="1">0.000001</definedName>
    <definedName name="solver_pre" localSheetId="2" hidden="1">0.000001</definedName>
    <definedName name="solver_rbv" localSheetId="0" hidden="1">1</definedName>
    <definedName name="solver_rbv" localSheetId="2" hidden="1">1</definedName>
    <definedName name="solver_rlx" localSheetId="0" hidden="1">2</definedName>
    <definedName name="solver_rlx" localSheetId="2" hidden="1">2</definedName>
    <definedName name="solver_rsd" localSheetId="0" hidden="1">0</definedName>
    <definedName name="solver_rsd" localSheetId="2" hidden="1">0</definedName>
    <definedName name="solver_scl" localSheetId="0" hidden="1">1</definedName>
    <definedName name="solver_scl" localSheetId="2" hidden="1">1</definedName>
    <definedName name="solver_sho" localSheetId="0" hidden="1">2</definedName>
    <definedName name="solver_sho" localSheetId="2" hidden="1">2</definedName>
    <definedName name="solver_ssz" localSheetId="0" hidden="1">100</definedName>
    <definedName name="solver_ssz" localSheetId="2" hidden="1">100</definedName>
    <definedName name="solver_tim" localSheetId="0" hidden="1">2147483647</definedName>
    <definedName name="solver_tim" localSheetId="2" hidden="1">2147483647</definedName>
    <definedName name="solver_tol" localSheetId="0" hidden="1">0.01</definedName>
    <definedName name="solver_tol" localSheetId="2" hidden="1">0.01</definedName>
    <definedName name="solver_typ" localSheetId="0" hidden="1">3</definedName>
    <definedName name="solver_typ" localSheetId="2" hidden="1">3</definedName>
    <definedName name="solver_val" localSheetId="0" hidden="1">0</definedName>
    <definedName name="solver_val" localSheetId="2" hidden="1">0</definedName>
    <definedName name="solver_ver" localSheetId="0" hidden="1">3</definedName>
    <definedName name="solver_ver" localSheetId="2" hidden="1">3</definedName>
  </definedNames>
  <calcPr calcId="162913" iterate="1"/>
</workbook>
</file>

<file path=xl/calcChain.xml><?xml version="1.0" encoding="utf-8"?>
<calcChain xmlns="http://schemas.openxmlformats.org/spreadsheetml/2006/main">
  <c r="B44" i="15" l="1"/>
  <c r="F43" i="15"/>
  <c r="E43" i="15"/>
  <c r="D43" i="15"/>
  <c r="C43" i="15"/>
  <c r="B43" i="15"/>
  <c r="F34" i="15"/>
  <c r="E34" i="15"/>
  <c r="D34" i="15"/>
  <c r="D35" i="15" s="1"/>
  <c r="F33" i="15"/>
  <c r="F35" i="15" s="1"/>
  <c r="E33" i="15"/>
  <c r="D33" i="15"/>
  <c r="F38" i="15"/>
  <c r="E38" i="15"/>
  <c r="D38" i="15"/>
  <c r="F36" i="15"/>
  <c r="E36" i="15"/>
  <c r="D36" i="15"/>
  <c r="C38" i="15"/>
  <c r="C36" i="15"/>
  <c r="E35" i="15"/>
  <c r="E39" i="15" s="1"/>
  <c r="E42" i="15" s="1"/>
  <c r="C35" i="15"/>
  <c r="C39" i="15" s="1"/>
  <c r="C42" i="15" s="1"/>
  <c r="C34" i="15"/>
  <c r="C33" i="15"/>
  <c r="B42" i="15"/>
  <c r="B40" i="15"/>
  <c r="F24" i="15"/>
  <c r="F39" i="15" l="1"/>
  <c r="F42" i="15" s="1"/>
  <c r="D39" i="15"/>
  <c r="D42" i="15" s="1"/>
  <c r="C19" i="15" l="1"/>
  <c r="C20" i="15" s="1"/>
  <c r="J17" i="15"/>
  <c r="J16" i="15"/>
  <c r="J15" i="15"/>
  <c r="C17" i="15"/>
  <c r="C18" i="15" s="1"/>
  <c r="B18" i="15"/>
  <c r="F14" i="15"/>
  <c r="E14" i="15"/>
  <c r="D14" i="15"/>
  <c r="C14" i="15"/>
  <c r="D16" i="15"/>
  <c r="E16" i="15" s="1"/>
  <c r="F16" i="15" s="1"/>
  <c r="C16" i="15"/>
  <c r="D8" i="15"/>
  <c r="E8" i="15" s="1"/>
  <c r="F8" i="15" s="1"/>
  <c r="C8" i="15"/>
  <c r="F7" i="15"/>
  <c r="E7" i="15"/>
  <c r="D7" i="15"/>
  <c r="C7" i="15"/>
  <c r="L12" i="15"/>
  <c r="K12" i="15"/>
  <c r="M12" i="15"/>
  <c r="J12" i="15"/>
  <c r="E15" i="15"/>
  <c r="D15" i="15"/>
  <c r="C15" i="15"/>
  <c r="M11" i="15"/>
  <c r="L11" i="15"/>
  <c r="K11" i="15"/>
  <c r="J11" i="15"/>
  <c r="L10" i="15"/>
  <c r="K10" i="15"/>
  <c r="J10" i="15"/>
  <c r="B16" i="15"/>
  <c r="K13" i="15" l="1"/>
  <c r="K15" i="15" s="1"/>
  <c r="K16" i="15" s="1"/>
  <c r="K17" i="15"/>
  <c r="D17" i="15" s="1"/>
  <c r="A34" i="15"/>
  <c r="A33" i="15"/>
  <c r="B9" i="15"/>
  <c r="D18" i="15" l="1"/>
  <c r="D9" i="15"/>
  <c r="F9" i="15"/>
  <c r="E9" i="15"/>
  <c r="C9" i="15"/>
  <c r="B11" i="15" l="1"/>
  <c r="C11" i="15" l="1"/>
  <c r="G3" i="5" l="1"/>
  <c r="C17" i="5"/>
  <c r="G2" i="5"/>
  <c r="B19" i="5" l="1"/>
  <c r="G6" i="5"/>
  <c r="G4" i="5"/>
  <c r="F16" i="5" l="1"/>
  <c r="B13" i="5"/>
  <c r="C31" i="5"/>
  <c r="J12" i="5"/>
  <c r="K12" i="5"/>
  <c r="M12" i="5"/>
  <c r="I19" i="5"/>
  <c r="C11" i="5"/>
  <c r="J14" i="5" s="1"/>
  <c r="H11" i="5"/>
  <c r="H12" i="5"/>
  <c r="I20" i="5"/>
  <c r="F31" i="5"/>
  <c r="E31" i="5"/>
  <c r="D31" i="5"/>
  <c r="F30" i="5"/>
  <c r="M11" i="5" s="1"/>
  <c r="E29" i="5"/>
  <c r="L12" i="5" s="1"/>
  <c r="E27" i="5"/>
  <c r="E16" i="5" s="1"/>
  <c r="D27" i="5"/>
  <c r="D16" i="5" s="1"/>
  <c r="C27" i="5"/>
  <c r="C30" i="5" s="1"/>
  <c r="B18" i="5"/>
  <c r="C12" i="5"/>
  <c r="D12" i="5" s="1"/>
  <c r="F11" i="5"/>
  <c r="E11" i="5"/>
  <c r="D11" i="5"/>
  <c r="I2" i="5" l="1"/>
  <c r="I7" i="5"/>
  <c r="C18" i="5"/>
  <c r="D18" i="5" s="1"/>
  <c r="E18" i="5" s="1"/>
  <c r="F18" i="5" s="1"/>
  <c r="B20" i="5"/>
  <c r="B22" i="5" s="1"/>
  <c r="M14" i="5"/>
  <c r="M13" i="5"/>
  <c r="C16" i="5"/>
  <c r="K14" i="5"/>
  <c r="L14" i="5"/>
  <c r="C34" i="5"/>
  <c r="C35" i="5" s="1"/>
  <c r="J11" i="5"/>
  <c r="J13" i="5" s="1"/>
  <c r="D30" i="5"/>
  <c r="K11" i="5" s="1"/>
  <c r="K13" i="5" s="1"/>
  <c r="C13" i="5"/>
  <c r="M16" i="5"/>
  <c r="E12" i="5"/>
  <c r="D13" i="5"/>
  <c r="E30" i="5"/>
  <c r="L11" i="5" s="1"/>
  <c r="L13" i="5" s="1"/>
  <c r="L16" i="5"/>
  <c r="B23" i="5" l="1"/>
  <c r="K16" i="5"/>
  <c r="K17" i="5" s="1"/>
  <c r="K19" i="5" s="1"/>
  <c r="J16" i="5"/>
  <c r="J17" i="5" s="1"/>
  <c r="C36" i="5"/>
  <c r="C19" i="5" s="1"/>
  <c r="C20" i="5" s="1"/>
  <c r="M17" i="5"/>
  <c r="M19" i="5" s="1"/>
  <c r="F12" i="5"/>
  <c r="F13" i="5" s="1"/>
  <c r="E13" i="5"/>
  <c r="L17" i="5"/>
  <c r="L19" i="5" s="1"/>
  <c r="C23" i="5" l="1"/>
  <c r="C22" i="5"/>
  <c r="D32" i="5" s="1"/>
  <c r="K20" i="5"/>
  <c r="J19" i="5"/>
  <c r="J20" i="5"/>
  <c r="L20" i="5"/>
  <c r="M20" i="5"/>
  <c r="I21" i="5" l="1"/>
  <c r="D33" i="5"/>
  <c r="D34" i="5" l="1"/>
  <c r="D35" i="5" s="1"/>
  <c r="D36" i="5" l="1"/>
  <c r="D19" i="5" s="1"/>
  <c r="D20" i="5" l="1"/>
  <c r="D22" i="5" l="1"/>
  <c r="E32" i="5" s="1"/>
  <c r="D23" i="5"/>
  <c r="E33" i="5" s="1"/>
  <c r="E34" i="5" l="1"/>
  <c r="E35" i="5" s="1"/>
  <c r="E36" i="5" l="1"/>
  <c r="E19" i="5" s="1"/>
  <c r="E20" i="5" l="1"/>
  <c r="E22" i="5" l="1"/>
  <c r="F32" i="5" s="1"/>
  <c r="E23" i="5"/>
  <c r="F33" i="5" s="1"/>
  <c r="F34" i="5" l="1"/>
  <c r="F35" i="5" s="1"/>
  <c r="F36" i="5" l="1"/>
  <c r="F19" i="5" s="1"/>
  <c r="I6" i="5" s="1"/>
  <c r="I8" i="5" s="1"/>
  <c r="I1" i="5" l="1"/>
  <c r="I3" i="5" s="1"/>
  <c r="I4" i="5" s="1"/>
  <c r="F20" i="5"/>
  <c r="F23" i="5" s="1"/>
  <c r="F22" i="5" l="1"/>
  <c r="D10" i="15" l="1"/>
  <c r="E10" i="15"/>
  <c r="F10" i="15"/>
  <c r="D11" i="15"/>
  <c r="E11" i="15"/>
  <c r="F11" i="15"/>
  <c r="L13" i="15"/>
  <c r="M13" i="15"/>
  <c r="L14" i="15"/>
  <c r="M14" i="15"/>
  <c r="L15" i="15"/>
  <c r="M15" i="15"/>
  <c r="L16" i="15"/>
  <c r="M16" i="15"/>
  <c r="E17" i="15"/>
  <c r="F17" i="15"/>
  <c r="L17" i="15"/>
  <c r="M17" i="15"/>
  <c r="E18" i="15"/>
  <c r="F18" i="15"/>
  <c r="D19" i="15"/>
  <c r="E19" i="15"/>
  <c r="F19" i="15"/>
  <c r="D20" i="15"/>
  <c r="E20" i="15"/>
  <c r="F20" i="15"/>
  <c r="F23" i="15"/>
  <c r="F25" i="15"/>
  <c r="F26" i="15"/>
  <c r="F28" i="15"/>
  <c r="F30" i="15"/>
</calcChain>
</file>

<file path=xl/sharedStrings.xml><?xml version="1.0" encoding="utf-8"?>
<sst xmlns="http://schemas.openxmlformats.org/spreadsheetml/2006/main" count="123" uniqueCount="68">
  <si>
    <t>NPV</t>
  </si>
  <si>
    <t>Flusso di cassa operativo corrente</t>
  </si>
  <si>
    <t>31/12/1</t>
  </si>
  <si>
    <t>31/12/2</t>
  </si>
  <si>
    <t>31/12/3</t>
  </si>
  <si>
    <t>31/12/4</t>
  </si>
  <si>
    <t>Interest rate</t>
  </si>
  <si>
    <t>DSO (gg)</t>
  </si>
  <si>
    <t>DPO  (gg)</t>
  </si>
  <si>
    <t>Duration of loan (yy)</t>
  </si>
  <si>
    <t>Useful life of the plant (yy)</t>
  </si>
  <si>
    <t>Financial Needs</t>
  </si>
  <si>
    <t>Fundings</t>
  </si>
  <si>
    <t>Trade credits</t>
  </si>
  <si>
    <t>Plant</t>
  </si>
  <si>
    <t>Total</t>
  </si>
  <si>
    <t>Trade debits</t>
  </si>
  <si>
    <t>Loan</t>
  </si>
  <si>
    <t>Shareholders' Capital</t>
  </si>
  <si>
    <t>Cumulated Earnings</t>
  </si>
  <si>
    <t>Projected Income statement</t>
  </si>
  <si>
    <t>Revenues from sales</t>
  </si>
  <si>
    <t>Variable costs</t>
  </si>
  <si>
    <t>Labour costs</t>
  </si>
  <si>
    <t>Depreciation &amp; Amortisation</t>
  </si>
  <si>
    <t>Operating Income</t>
  </si>
  <si>
    <t>Interest costs on Initial Loan</t>
  </si>
  <si>
    <t>Interest costs on cash deficit</t>
  </si>
  <si>
    <t>Cash deficit (needs of new funding)</t>
  </si>
  <si>
    <t>Cash surplus (to be invested at the interest rate)</t>
  </si>
  <si>
    <t>Income Before Taxes</t>
  </si>
  <si>
    <t>Income Taxes</t>
  </si>
  <si>
    <t>Expected Cash Flows</t>
  </si>
  <si>
    <t>EBIT</t>
  </si>
  <si>
    <t>Variation of trade credits</t>
  </si>
  <si>
    <t>Variation of trade debits</t>
  </si>
  <si>
    <t>Variation of Inventory</t>
  </si>
  <si>
    <t>Investment ouflow</t>
  </si>
  <si>
    <t>Cash Flow from Operations</t>
  </si>
  <si>
    <t>Discounted Cash Flow from Operations</t>
  </si>
  <si>
    <t>C = A - B) Present Value of the total income gained over the entire period</t>
  </si>
  <si>
    <t>B) Shareholders' Equity at the end of year 0</t>
  </si>
  <si>
    <t>Net Income</t>
  </si>
  <si>
    <t>A) Shareholders' Capital at the end of year 4</t>
  </si>
  <si>
    <t>31/12/0</t>
  </si>
  <si>
    <t>Income tax rate</t>
  </si>
  <si>
    <t>Interest incomes on cash surplus</t>
  </si>
  <si>
    <t>Subtotal</t>
  </si>
  <si>
    <t>year 0</t>
  </si>
  <si>
    <t>year 1</t>
  </si>
  <si>
    <t>year 2</t>
  </si>
  <si>
    <t>year 3</t>
  </si>
  <si>
    <t>STAR</t>
  </si>
  <si>
    <t>Star is a start-up that consists of a single investment project.
Star is projecting to build a new plant with an expected cost of € 2,100 and an expected useful life of 3 years.
The company intends to finance the project with a mix of loan, for € 1,800, and shareholders’ equity for the remaining part. The loan’s duration is 3 years. Therefore, it is to be reimbursed before the end of year 3.
The expected DSO is 90 days and the expected DPO is 70-days.
For the sake of simplicity, let's assume that there is only a single rate at which to borrow or invest money, and it is 10% per annum.
The table below the revenue and cost forecasts (in Euros).
For the sake of simplicity, let assume that both the income tax rate and the VAT rate are equal to 0.
Our task is to perform a financial valuation of the investment project, using the simple principle of financial accounting.</t>
  </si>
  <si>
    <t>Current  Cash Flow From Operations</t>
  </si>
  <si>
    <t>Cash deficit (needs for new funding)</t>
  </si>
  <si>
    <t>Taxes on Operating Income</t>
  </si>
  <si>
    <t>After Taxes Interest rate</t>
  </si>
  <si>
    <t>Before Taxes Interest rate</t>
  </si>
  <si>
    <t>DSO (dd)</t>
  </si>
  <si>
    <t xml:space="preserve">DPO  (dd)                  </t>
  </si>
  <si>
    <t>Trade debts</t>
  </si>
  <si>
    <t>B) Future Value of the Initial Shareholders' Capital if invested at 10%</t>
  </si>
  <si>
    <t>C = A - B) Excess Income from Star with respect to investing at 10%</t>
  </si>
  <si>
    <t>D) Present Value (at year 0) of C (discounted at 10%</t>
  </si>
  <si>
    <t>A) PV (at year 0) of year 4 Shareholders' Equity (discounted at 10%</t>
  </si>
  <si>
    <t>EBITDA</t>
  </si>
  <si>
    <t>Variation of trade debts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</si>
</sst>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
    <numFmt numFmtId="165" formatCode="0.0%"/>
    <numFmt numFmtId="166" formatCode="#,##0.0;\(#,##0.0\)"/>
    <numFmt numFmtId="167" formatCode="0.0"/>
    <numFmt numFmtId="168" formatCode="#,##0.0"/>
  </numFmts>
  <fonts count="6"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sz val="18"/>
      <color theme="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FF66CC"/>
        <bgColor indexed="64"/>
      </patternFill>
    </fill>
    <fill>
      <patternFill patternType="solid">
        <fgColor rgb="FF00FF00"/>
        <bgColor indexed="64"/>
      </patternFill>
    </fill>
    <fill>
      <patternFill patternType="solid">
        <fgColor rgb="FF66CCFF"/>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96">
    <xf numFmtId="0" fontId="0" fillId="0" borderId="0" xfId="0"/>
    <xf numFmtId="164" fontId="0" fillId="0" borderId="0" xfId="0" applyNumberFormat="1"/>
    <xf numFmtId="0" fontId="2" fillId="0" borderId="0" xfId="0" applyFont="1"/>
    <xf numFmtId="164" fontId="2" fillId="0" borderId="0" xfId="0" applyNumberFormat="1" applyFont="1"/>
    <xf numFmtId="14" fontId="0" fillId="0" borderId="0" xfId="0" applyNumberFormat="1"/>
    <xf numFmtId="165" fontId="0" fillId="0" borderId="0" xfId="2" applyNumberFormat="1" applyFont="1"/>
    <xf numFmtId="164" fontId="0" fillId="0" borderId="0" xfId="0" applyNumberFormat="1" applyFont="1"/>
    <xf numFmtId="164" fontId="0" fillId="2" borderId="0" xfId="0" applyNumberFormat="1" applyFill="1"/>
    <xf numFmtId="0" fontId="0" fillId="0" borderId="0" xfId="0" applyFont="1"/>
    <xf numFmtId="0" fontId="0" fillId="0" borderId="0" xfId="0" applyAlignment="1">
      <alignment horizontal="center"/>
    </xf>
    <xf numFmtId="9" fontId="0" fillId="0" borderId="0" xfId="0" applyNumberFormat="1"/>
    <xf numFmtId="0" fontId="0" fillId="0" borderId="0" xfId="0" quotePrefix="1"/>
    <xf numFmtId="0" fontId="0" fillId="0" borderId="1" xfId="0" applyFont="1" applyBorder="1"/>
    <xf numFmtId="9" fontId="1" fillId="0" borderId="1" xfId="2" applyFont="1" applyBorder="1"/>
    <xf numFmtId="0" fontId="0" fillId="0" borderId="1" xfId="0" applyBorder="1"/>
    <xf numFmtId="164" fontId="0" fillId="0" borderId="1" xfId="0" applyNumberFormat="1" applyBorder="1"/>
    <xf numFmtId="164" fontId="2" fillId="0" borderId="1" xfId="0" applyNumberFormat="1" applyFont="1" applyBorder="1"/>
    <xf numFmtId="164" fontId="0" fillId="0" borderId="1" xfId="0" applyNumberFormat="1" applyFont="1" applyBorder="1"/>
    <xf numFmtId="0" fontId="2" fillId="0" borderId="1" xfId="0" applyFont="1" applyBorder="1"/>
    <xf numFmtId="0" fontId="0" fillId="0" borderId="0" xfId="0" applyFill="1"/>
    <xf numFmtId="164" fontId="0" fillId="0" borderId="0" xfId="0" applyNumberFormat="1" applyFill="1"/>
    <xf numFmtId="164" fontId="2" fillId="0" borderId="0" xfId="0" applyNumberFormat="1" applyFont="1" applyFill="1"/>
    <xf numFmtId="164" fontId="0" fillId="0" borderId="0" xfId="0" applyNumberFormat="1" applyFont="1" applyFill="1"/>
    <xf numFmtId="165" fontId="0" fillId="0" borderId="0" xfId="2" applyNumberFormat="1" applyFont="1" applyFill="1"/>
    <xf numFmtId="0" fontId="3" fillId="0" borderId="1" xfId="0" applyFont="1" applyBorder="1"/>
    <xf numFmtId="14" fontId="3" fillId="0" borderId="1" xfId="0" quotePrefix="1" applyNumberFormat="1" applyFont="1" applyBorder="1" applyAlignment="1">
      <alignment horizontal="center"/>
    </xf>
    <xf numFmtId="14" fontId="3" fillId="0" borderId="1" xfId="0" quotePrefix="1" applyNumberFormat="1" applyFont="1" applyFill="1" applyBorder="1" applyAlignment="1">
      <alignment horizontal="center"/>
    </xf>
    <xf numFmtId="164" fontId="2" fillId="0" borderId="1" xfId="0" applyNumberFormat="1" applyFont="1" applyFill="1" applyBorder="1"/>
    <xf numFmtId="0" fontId="3" fillId="0" borderId="1" xfId="0" applyFont="1" applyBorder="1" applyAlignment="1">
      <alignment horizontal="center"/>
    </xf>
    <xf numFmtId="0" fontId="3" fillId="0" borderId="1" xfId="0" applyFont="1" applyFill="1" applyBorder="1" applyAlignment="1">
      <alignment horizontal="center"/>
    </xf>
    <xf numFmtId="164" fontId="0" fillId="0" borderId="1" xfId="0" applyNumberFormat="1" applyFont="1" applyFill="1" applyBorder="1"/>
    <xf numFmtId="0" fontId="2" fillId="3" borderId="1" xfId="0" applyFont="1" applyFill="1" applyBorder="1"/>
    <xf numFmtId="164" fontId="2" fillId="3" borderId="1" xfId="0" applyNumberFormat="1" applyFont="1" applyFill="1" applyBorder="1"/>
    <xf numFmtId="10" fontId="0" fillId="0" borderId="0" xfId="0" applyNumberFormat="1" applyFill="1"/>
    <xf numFmtId="165" fontId="0" fillId="0" borderId="1" xfId="2" applyNumberFormat="1" applyFont="1" applyBorder="1"/>
    <xf numFmtId="164" fontId="0" fillId="2" borderId="1" xfId="0" applyNumberFormat="1" applyFill="1" applyBorder="1"/>
    <xf numFmtId="164" fontId="0" fillId="4" borderId="1" xfId="0" applyNumberFormat="1" applyFill="1" applyBorder="1"/>
    <xf numFmtId="164" fontId="0" fillId="5" borderId="1" xfId="0" applyNumberFormat="1" applyFill="1" applyBorder="1"/>
    <xf numFmtId="164" fontId="0" fillId="7" borderId="1" xfId="0" applyNumberFormat="1" applyFill="1" applyBorder="1"/>
    <xf numFmtId="164" fontId="3" fillId="0" borderId="1" xfId="0" applyNumberFormat="1" applyFont="1" applyFill="1" applyBorder="1"/>
    <xf numFmtId="166" fontId="2" fillId="0" borderId="1" xfId="0" applyNumberFormat="1" applyFont="1" applyBorder="1"/>
    <xf numFmtId="166" fontId="0" fillId="0" borderId="1" xfId="0" applyNumberFormat="1" applyBorder="1"/>
    <xf numFmtId="166" fontId="0" fillId="2" borderId="1" xfId="0" applyNumberFormat="1" applyFill="1" applyBorder="1"/>
    <xf numFmtId="166" fontId="0" fillId="2" borderId="1" xfId="0" applyNumberFormat="1" applyFont="1" applyFill="1" applyBorder="1"/>
    <xf numFmtId="166" fontId="0" fillId="5" borderId="1" xfId="0" applyNumberFormat="1" applyFill="1" applyBorder="1"/>
    <xf numFmtId="166" fontId="0" fillId="5" borderId="1" xfId="0" applyNumberFormat="1" applyFont="1" applyFill="1" applyBorder="1"/>
    <xf numFmtId="166" fontId="0" fillId="4" borderId="1" xfId="0" applyNumberFormat="1" applyFill="1" applyBorder="1"/>
    <xf numFmtId="166" fontId="0" fillId="4" borderId="1" xfId="0" applyNumberFormat="1" applyFont="1" applyFill="1" applyBorder="1"/>
    <xf numFmtId="166" fontId="0" fillId="7" borderId="1" xfId="0" applyNumberFormat="1" applyFill="1" applyBorder="1"/>
    <xf numFmtId="166" fontId="0" fillId="7" borderId="1" xfId="0" applyNumberFormat="1" applyFont="1" applyFill="1" applyBorder="1"/>
    <xf numFmtId="166" fontId="0" fillId="6" borderId="1" xfId="0" applyNumberFormat="1" applyFill="1" applyBorder="1"/>
    <xf numFmtId="166" fontId="0" fillId="9" borderId="1" xfId="0" applyNumberFormat="1" applyFill="1" applyBorder="1"/>
    <xf numFmtId="166" fontId="0" fillId="8" borderId="1" xfId="0" applyNumberFormat="1" applyFill="1" applyBorder="1"/>
    <xf numFmtId="166" fontId="0" fillId="4" borderId="1" xfId="1" applyNumberFormat="1" applyFont="1" applyFill="1" applyBorder="1"/>
    <xf numFmtId="166" fontId="0" fillId="0" borderId="1" xfId="0" applyNumberFormat="1" applyFill="1" applyBorder="1"/>
    <xf numFmtId="166" fontId="0" fillId="0" borderId="1" xfId="0" applyNumberFormat="1" applyFont="1" applyBorder="1"/>
    <xf numFmtId="166" fontId="2" fillId="0" borderId="1" xfId="0" applyNumberFormat="1" applyFont="1" applyFill="1" applyBorder="1"/>
    <xf numFmtId="166" fontId="0" fillId="9" borderId="1" xfId="0" applyNumberFormat="1" applyFont="1" applyFill="1" applyBorder="1"/>
    <xf numFmtId="166" fontId="0" fillId="8" borderId="1" xfId="0" applyNumberFormat="1" applyFont="1" applyFill="1" applyBorder="1"/>
    <xf numFmtId="166" fontId="2" fillId="6" borderId="1" xfId="0" applyNumberFormat="1" applyFont="1" applyFill="1" applyBorder="1"/>
    <xf numFmtId="0" fontId="0" fillId="0" borderId="0" xfId="0" applyFill="1" applyBorder="1" applyAlignment="1">
      <alignment horizontal="right"/>
    </xf>
    <xf numFmtId="167" fontId="0" fillId="0" borderId="1" xfId="0" applyNumberFormat="1" applyBorder="1"/>
    <xf numFmtId="168" fontId="0" fillId="2" borderId="1" xfId="0" applyNumberFormat="1" applyFill="1" applyBorder="1"/>
    <xf numFmtId="166" fontId="0" fillId="0" borderId="0" xfId="0" applyNumberFormat="1"/>
    <xf numFmtId="166" fontId="2" fillId="3" borderId="1" xfId="0" applyNumberFormat="1" applyFont="1" applyFill="1" applyBorder="1"/>
    <xf numFmtId="10" fontId="0" fillId="0" borderId="0" xfId="0" applyNumberFormat="1" applyFill="1" applyAlignment="1">
      <alignment horizontal="left"/>
    </xf>
    <xf numFmtId="0" fontId="0" fillId="0" borderId="0" xfId="0" applyFont="1" applyAlignment="1">
      <alignment horizontal="left"/>
    </xf>
    <xf numFmtId="0" fontId="0" fillId="0" borderId="0" xfId="0" applyAlignment="1">
      <alignment horizontal="left"/>
    </xf>
    <xf numFmtId="0" fontId="0" fillId="0" borderId="0" xfId="0" applyFill="1" applyBorder="1" applyAlignment="1">
      <alignment horizontal="left"/>
    </xf>
    <xf numFmtId="14" fontId="4" fillId="0" borderId="0" xfId="0" quotePrefix="1" applyNumberFormat="1" applyFont="1" applyBorder="1" applyAlignment="1">
      <alignment horizontal="center"/>
    </xf>
    <xf numFmtId="0" fontId="0" fillId="0" borderId="0" xfId="0" applyAlignment="1">
      <alignment wrapText="1"/>
    </xf>
    <xf numFmtId="0" fontId="5" fillId="0" borderId="0" xfId="0" applyFont="1" applyAlignment="1">
      <alignment horizontal="center" wrapText="1"/>
    </xf>
    <xf numFmtId="0" fontId="0" fillId="0" borderId="1" xfId="0" applyBorder="1" applyAlignment="1">
      <alignment wrapText="1"/>
    </xf>
    <xf numFmtId="0" fontId="0" fillId="0" borderId="1" xfId="0" applyBorder="1" applyAlignment="1">
      <alignment horizontal="center" vertical="center" wrapText="1"/>
    </xf>
    <xf numFmtId="0" fontId="0" fillId="0" borderId="1" xfId="0" applyBorder="1" applyAlignment="1">
      <alignment vertical="center" wrapText="1"/>
    </xf>
    <xf numFmtId="164" fontId="2" fillId="0" borderId="1" xfId="0" applyNumberFormat="1" applyFont="1" applyBorder="1" applyAlignment="1">
      <alignment horizontal="center"/>
    </xf>
    <xf numFmtId="0" fontId="4" fillId="0" borderId="1" xfId="0" applyFont="1" applyBorder="1" applyAlignment="1">
      <alignment horizontal="center"/>
    </xf>
    <xf numFmtId="0" fontId="4" fillId="0" borderId="1" xfId="0" applyFont="1" applyFill="1" applyBorder="1" applyAlignment="1">
      <alignment horizontal="center"/>
    </xf>
    <xf numFmtId="0" fontId="1" fillId="0" borderId="1" xfId="3" applyFont="1" applyBorder="1"/>
    <xf numFmtId="164" fontId="2" fillId="0" borderId="1" xfId="3" applyNumberFormat="1" applyFont="1" applyBorder="1"/>
    <xf numFmtId="164" fontId="1" fillId="0" borderId="1" xfId="3" applyNumberFormat="1" applyFont="1" applyBorder="1"/>
    <xf numFmtId="0" fontId="0" fillId="0" borderId="1" xfId="0" applyBorder="1" applyAlignment="1">
      <alignment horizontal="left"/>
    </xf>
    <xf numFmtId="0" fontId="0" fillId="0" borderId="1" xfId="0" applyFill="1"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2" xfId="0" applyFont="1" applyBorder="1" applyAlignment="1">
      <alignment horizontal="left"/>
    </xf>
    <xf numFmtId="0" fontId="0" fillId="0" borderId="3" xfId="0" applyFont="1" applyBorder="1" applyAlignment="1">
      <alignment horizontal="left"/>
    </xf>
    <xf numFmtId="0" fontId="0" fillId="0" borderId="4" xfId="0" applyFont="1" applyBorder="1" applyAlignment="1">
      <alignment horizontal="left"/>
    </xf>
    <xf numFmtId="10" fontId="0" fillId="0" borderId="2" xfId="0" applyNumberFormat="1" applyFill="1" applyBorder="1" applyAlignment="1">
      <alignment horizontal="left"/>
    </xf>
    <xf numFmtId="10" fontId="0" fillId="0" borderId="3" xfId="0" applyNumberFormat="1" applyFill="1" applyBorder="1" applyAlignment="1">
      <alignment horizontal="left"/>
    </xf>
    <xf numFmtId="10" fontId="0" fillId="0" borderId="4" xfId="0" applyNumberFormat="1" applyFill="1" applyBorder="1" applyAlignment="1">
      <alignment horizontal="left"/>
    </xf>
    <xf numFmtId="0" fontId="0" fillId="0" borderId="0" xfId="0" applyAlignment="1">
      <alignment horizontal="left" vertical="center" wrapText="1"/>
    </xf>
    <xf numFmtId="0" fontId="5" fillId="0" borderId="0" xfId="0" applyFont="1" applyAlignment="1">
      <alignment horizontal="center" wrapText="1"/>
    </xf>
    <xf numFmtId="1" fontId="0" fillId="0" borderId="1" xfId="0" applyNumberFormat="1" applyBorder="1"/>
    <xf numFmtId="3" fontId="0" fillId="2" borderId="1" xfId="0" applyNumberFormat="1" applyFill="1" applyBorder="1"/>
  </cellXfs>
  <cellStyles count="6">
    <cellStyle name="Migliaia" xfId="1" builtinId="3"/>
    <cellStyle name="Migliaia 2" xfId="5"/>
    <cellStyle name="Normale" xfId="0" builtinId="0"/>
    <cellStyle name="Normale 2" xfId="3"/>
    <cellStyle name="Percentuale" xfId="2" builtinId="5"/>
    <cellStyle name="Percentuale 2" xfId="4"/>
  </cellStyles>
  <dxfs count="0"/>
  <tableStyles count="0" defaultTableStyle="TableStyleMedium2" defaultPivotStyle="PivotStyleLight16"/>
  <colors>
    <mruColors>
      <color rgb="FF00FF00"/>
      <color rgb="FF66CC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O106"/>
  <sheetViews>
    <sheetView topLeftCell="A10" zoomScaleNormal="100" workbookViewId="0">
      <selection activeCell="A33" sqref="A33"/>
    </sheetView>
    <sheetView workbookViewId="1"/>
  </sheetViews>
  <sheetFormatPr defaultRowHeight="15" x14ac:dyDescent="0.25"/>
  <cols>
    <col min="1" max="1" width="34.5703125" customWidth="1"/>
    <col min="2" max="2" width="9.140625" customWidth="1"/>
    <col min="3" max="3" width="10.7109375" customWidth="1"/>
    <col min="4" max="4" width="9.140625" style="19"/>
    <col min="5" max="5" width="9.140625" style="8"/>
    <col min="8" max="8" width="53.28515625" bestFit="1" customWidth="1"/>
    <col min="9" max="13" width="9.140625" customWidth="1"/>
  </cols>
  <sheetData>
    <row r="1" spans="1:15" x14ac:dyDescent="0.25">
      <c r="A1" s="12" t="s">
        <v>45</v>
      </c>
      <c r="B1" s="13">
        <v>0</v>
      </c>
      <c r="G1" s="66" t="s">
        <v>43</v>
      </c>
      <c r="I1" s="41">
        <f>+F18+F19</f>
        <v>666.51239726027393</v>
      </c>
    </row>
    <row r="2" spans="1:15" x14ac:dyDescent="0.25">
      <c r="A2" s="14" t="s">
        <v>6</v>
      </c>
      <c r="B2" s="34">
        <v>0.1</v>
      </c>
      <c r="G2" s="65" t="str">
        <f>"B) Future Value of the Initial Shareholders' Capital if invested at " &amp;  B2*100 &amp; "%"</f>
        <v>B) Future Value of the Initial Shareholders' Capital if invested at 10%</v>
      </c>
      <c r="I2" s="41">
        <f>+B18*(1+B2)^(B6+1)</f>
        <v>439.23000000000013</v>
      </c>
      <c r="O2" s="19"/>
    </row>
    <row r="3" spans="1:15" x14ac:dyDescent="0.25">
      <c r="A3" s="14" t="s">
        <v>7</v>
      </c>
      <c r="B3" s="35">
        <v>90</v>
      </c>
      <c r="G3" s="67" t="str">
        <f>CONCATENATE("C = A - B) Excess Income from Star with respect to investing at ",B2*100,"%")</f>
        <v>C = A - B) Excess Income from Star with respect to investing at 10%</v>
      </c>
      <c r="I3" s="41">
        <f>+I1-I2</f>
        <v>227.2823972602738</v>
      </c>
      <c r="O3" s="33"/>
    </row>
    <row r="4" spans="1:15" x14ac:dyDescent="0.25">
      <c r="A4" s="14" t="s">
        <v>8</v>
      </c>
      <c r="B4" s="36">
        <v>70</v>
      </c>
      <c r="G4" s="67" t="str">
        <f>CONCATENATE("D) Present Value (at year 0) of C (discounted at ",B2*100, " %)")</f>
        <v>D) Present Value (at year 0) of C (discounted at 10 %)</v>
      </c>
      <c r="I4" s="42">
        <f>+I3/1.1^4</f>
        <v>155.23693549639623</v>
      </c>
    </row>
    <row r="5" spans="1:15" x14ac:dyDescent="0.25">
      <c r="A5" s="14" t="s">
        <v>9</v>
      </c>
      <c r="B5" s="38">
        <v>3</v>
      </c>
    </row>
    <row r="6" spans="1:15" x14ac:dyDescent="0.25">
      <c r="A6" s="14" t="s">
        <v>10</v>
      </c>
      <c r="B6" s="37">
        <v>3</v>
      </c>
      <c r="G6" t="str">
        <f>CONCATENATE("A) Present Value (at year 0) of Shareholders' Equity at the end of year 4 (discounted at ",B2*100, " %)")</f>
        <v>A) Present Value (at year 0) of Shareholders' Equity at the end of year 4 (discounted at 10 %)</v>
      </c>
      <c r="H6" s="60"/>
      <c r="I6" s="61">
        <f>+(F18+F19)/1.1^4</f>
        <v>455.23693549639626</v>
      </c>
    </row>
    <row r="7" spans="1:15" x14ac:dyDescent="0.25">
      <c r="G7" t="s">
        <v>41</v>
      </c>
      <c r="H7" s="60"/>
      <c r="I7" s="61">
        <f>+B18</f>
        <v>300</v>
      </c>
    </row>
    <row r="8" spans="1:15" x14ac:dyDescent="0.25">
      <c r="G8" s="68" t="s">
        <v>40</v>
      </c>
      <c r="I8" s="62">
        <f>+I6-I7</f>
        <v>155.23693549639626</v>
      </c>
    </row>
    <row r="10" spans="1:15" x14ac:dyDescent="0.25">
      <c r="A10" s="69" t="s">
        <v>11</v>
      </c>
      <c r="B10" s="25" t="s">
        <v>44</v>
      </c>
      <c r="C10" s="25" t="s">
        <v>2</v>
      </c>
      <c r="D10" s="26" t="s">
        <v>3</v>
      </c>
      <c r="E10" s="25" t="s">
        <v>4</v>
      </c>
      <c r="F10" s="25" t="s">
        <v>5</v>
      </c>
      <c r="G10" s="4"/>
      <c r="H10" s="18" t="s">
        <v>32</v>
      </c>
      <c r="I10" s="16"/>
      <c r="J10" s="28">
        <v>1</v>
      </c>
      <c r="K10" s="29">
        <v>2</v>
      </c>
      <c r="L10" s="28">
        <v>3</v>
      </c>
      <c r="M10" s="28">
        <v>4</v>
      </c>
    </row>
    <row r="11" spans="1:15" x14ac:dyDescent="0.25">
      <c r="A11" s="14" t="s">
        <v>13</v>
      </c>
      <c r="B11" s="41"/>
      <c r="C11" s="42">
        <f>+C26/365*$B$3</f>
        <v>419.17808219178085</v>
      </c>
      <c r="D11" s="42">
        <f>+D26/365*$B$3</f>
        <v>443.83561643835617</v>
      </c>
      <c r="E11" s="43">
        <f>+E26/365*$B$3</f>
        <v>369.8630136986302</v>
      </c>
      <c r="F11" s="42">
        <f>+F26/365*$B$3</f>
        <v>0</v>
      </c>
      <c r="G11" s="1"/>
      <c r="H11" s="12" t="str">
        <f>+A29</f>
        <v>Depreciation &amp; Amortisation</v>
      </c>
      <c r="I11" s="16"/>
      <c r="J11" s="17">
        <f>+C30</f>
        <v>255</v>
      </c>
      <c r="K11" s="30">
        <f>+D30</f>
        <v>315</v>
      </c>
      <c r="L11" s="17">
        <f>+E30</f>
        <v>120</v>
      </c>
      <c r="M11" s="17">
        <f>+F30</f>
        <v>0</v>
      </c>
    </row>
    <row r="12" spans="1:15" x14ac:dyDescent="0.25">
      <c r="A12" s="14" t="s">
        <v>14</v>
      </c>
      <c r="B12" s="44">
        <v>2100</v>
      </c>
      <c r="C12" s="44">
        <f>+B12+C29</f>
        <v>1400</v>
      </c>
      <c r="D12" s="44">
        <f>+C12+D29</f>
        <v>700</v>
      </c>
      <c r="E12" s="45">
        <f>+D12+E29</f>
        <v>0</v>
      </c>
      <c r="F12" s="44">
        <f>+E12+F29</f>
        <v>0</v>
      </c>
      <c r="G12" s="1"/>
      <c r="H12" s="12" t="str">
        <f>+A28</f>
        <v>Labour costs</v>
      </c>
      <c r="I12" s="16"/>
      <c r="J12" s="17">
        <f>-C29</f>
        <v>700</v>
      </c>
      <c r="K12" s="30">
        <f>-D29</f>
        <v>700</v>
      </c>
      <c r="L12" s="17">
        <f>-E29</f>
        <v>700</v>
      </c>
      <c r="M12" s="17">
        <f>-F29</f>
        <v>0</v>
      </c>
    </row>
    <row r="13" spans="1:15" x14ac:dyDescent="0.25">
      <c r="A13" s="16" t="s">
        <v>15</v>
      </c>
      <c r="B13" s="40">
        <f>SUM(B11:B12)</f>
        <v>2100</v>
      </c>
      <c r="C13" s="40">
        <f>SUM(C11:C12)</f>
        <v>1819.178082191781</v>
      </c>
      <c r="D13" s="40">
        <f>SUM(D11:D12)</f>
        <v>1143.8356164383563</v>
      </c>
      <c r="E13" s="40">
        <f>SUM(E11:E12)</f>
        <v>369.8630136986302</v>
      </c>
      <c r="F13" s="40">
        <f>SUM(F11:F12)</f>
        <v>0</v>
      </c>
      <c r="H13" s="18" t="s">
        <v>33</v>
      </c>
      <c r="I13" s="16"/>
      <c r="J13" s="16">
        <f>+J12+J11</f>
        <v>955</v>
      </c>
      <c r="K13" s="27">
        <f>+K12+K11</f>
        <v>1015</v>
      </c>
      <c r="L13" s="16">
        <f>+L12+L11</f>
        <v>820</v>
      </c>
      <c r="M13" s="16">
        <f>+M12+M11</f>
        <v>0</v>
      </c>
    </row>
    <row r="14" spans="1:15" x14ac:dyDescent="0.25">
      <c r="G14" s="1"/>
      <c r="H14" s="12" t="s">
        <v>34</v>
      </c>
      <c r="I14" s="16"/>
      <c r="J14" s="17">
        <f>-C11+B11</f>
        <v>-419.17808219178085</v>
      </c>
      <c r="K14" s="30">
        <f>-D11+C11</f>
        <v>-24.657534246575324</v>
      </c>
      <c r="L14" s="17">
        <f>-E11+D11</f>
        <v>73.972602739725971</v>
      </c>
      <c r="M14" s="17">
        <f>-F11+E11</f>
        <v>369.8630136986302</v>
      </c>
    </row>
    <row r="15" spans="1:15" x14ac:dyDescent="0.25">
      <c r="A15" s="69" t="s">
        <v>12</v>
      </c>
      <c r="B15" s="25" t="s">
        <v>44</v>
      </c>
      <c r="C15" s="25" t="s">
        <v>2</v>
      </c>
      <c r="D15" s="26" t="s">
        <v>3</v>
      </c>
      <c r="E15" s="25" t="s">
        <v>4</v>
      </c>
      <c r="F15" s="25" t="s">
        <v>5</v>
      </c>
      <c r="G15" s="3"/>
      <c r="H15" s="12" t="s">
        <v>36</v>
      </c>
      <c r="I15" s="16"/>
      <c r="J15" s="17">
        <v>0</v>
      </c>
      <c r="K15" s="17">
        <v>0</v>
      </c>
      <c r="L15" s="17">
        <v>0</v>
      </c>
      <c r="M15" s="17">
        <v>0</v>
      </c>
    </row>
    <row r="16" spans="1:15" x14ac:dyDescent="0.25">
      <c r="A16" s="14" t="s">
        <v>16</v>
      </c>
      <c r="B16" s="41"/>
      <c r="C16" s="46">
        <f>-C27/365*$B$4</f>
        <v>114.1095890410959</v>
      </c>
      <c r="D16" s="46">
        <f>-D27/365*$B$4</f>
        <v>120.82191780821918</v>
      </c>
      <c r="E16" s="47">
        <f>-E27/365*$B$4</f>
        <v>100.68493150684931</v>
      </c>
      <c r="F16" s="46">
        <f>-F27/365*$B$4</f>
        <v>0</v>
      </c>
      <c r="G16" s="1"/>
      <c r="H16" s="12" t="s">
        <v>35</v>
      </c>
      <c r="I16" s="16"/>
      <c r="J16" s="17">
        <f>+C16-B16</f>
        <v>114.1095890410959</v>
      </c>
      <c r="K16" s="30">
        <f>+D16-C16</f>
        <v>6.7123287671232816</v>
      </c>
      <c r="L16" s="17">
        <f>+E16-D16</f>
        <v>-20.136986301369873</v>
      </c>
      <c r="M16" s="17">
        <f>+F16-E16</f>
        <v>-100.68493150684931</v>
      </c>
    </row>
    <row r="17" spans="1:15" x14ac:dyDescent="0.25">
      <c r="A17" s="14" t="s">
        <v>17</v>
      </c>
      <c r="B17" s="48">
        <v>1800</v>
      </c>
      <c r="C17" s="48">
        <f>+B17/3*2</f>
        <v>1200</v>
      </c>
      <c r="D17" s="48">
        <v>600</v>
      </c>
      <c r="E17" s="49">
        <v>0</v>
      </c>
      <c r="F17" s="48">
        <v>0</v>
      </c>
      <c r="G17" s="1"/>
      <c r="H17" s="18" t="s">
        <v>1</v>
      </c>
      <c r="I17" s="16"/>
      <c r="J17" s="16">
        <f>SUM(J13:J16)</f>
        <v>649.93150684931504</v>
      </c>
      <c r="K17" s="27">
        <f>SUM(K13:K16)</f>
        <v>997.05479452054794</v>
      </c>
      <c r="L17" s="16">
        <f>SUM(L13:L16)</f>
        <v>873.83561643835606</v>
      </c>
      <c r="M17" s="16">
        <f>SUM(M13:M16)</f>
        <v>269.1780821917809</v>
      </c>
    </row>
    <row r="18" spans="1:15" x14ac:dyDescent="0.25">
      <c r="A18" s="14" t="s">
        <v>18</v>
      </c>
      <c r="B18" s="50">
        <f>+B12-B17</f>
        <v>300</v>
      </c>
      <c r="C18" s="50">
        <f>+B18</f>
        <v>300</v>
      </c>
      <c r="D18" s="50">
        <f t="shared" ref="D18:F18" si="0">+C18</f>
        <v>300</v>
      </c>
      <c r="E18" s="50">
        <f t="shared" si="0"/>
        <v>300</v>
      </c>
      <c r="F18" s="50">
        <f t="shared" si="0"/>
        <v>300</v>
      </c>
      <c r="G18" s="1"/>
      <c r="H18" s="12" t="s">
        <v>37</v>
      </c>
      <c r="I18" s="17">
        <v>-2100</v>
      </c>
      <c r="J18" s="17"/>
      <c r="K18" s="30"/>
      <c r="L18" s="17"/>
      <c r="M18" s="17"/>
    </row>
    <row r="19" spans="1:15" x14ac:dyDescent="0.25">
      <c r="A19" s="17" t="s">
        <v>19</v>
      </c>
      <c r="B19" s="55">
        <f>+B36</f>
        <v>0</v>
      </c>
      <c r="C19" s="55">
        <f>B19+C36</f>
        <v>75</v>
      </c>
      <c r="D19" s="55">
        <f t="shared" ref="D19:F19" si="1">C19+D36</f>
        <v>256.99315068493149</v>
      </c>
      <c r="E19" s="55">
        <f t="shared" si="1"/>
        <v>330.39109589041095</v>
      </c>
      <c r="F19" s="55">
        <f t="shared" si="1"/>
        <v>366.51239726027399</v>
      </c>
      <c r="G19" s="1"/>
      <c r="H19" s="31" t="s">
        <v>38</v>
      </c>
      <c r="I19" s="32">
        <f>+I18+I17</f>
        <v>-2100</v>
      </c>
      <c r="J19" s="64">
        <f t="shared" ref="J19:M19" si="2">+J18+J17</f>
        <v>649.93150684931504</v>
      </c>
      <c r="K19" s="64">
        <f t="shared" si="2"/>
        <v>997.05479452054794</v>
      </c>
      <c r="L19" s="64">
        <f t="shared" si="2"/>
        <v>873.83561643835606</v>
      </c>
      <c r="M19" s="64">
        <f t="shared" si="2"/>
        <v>269.1780821917809</v>
      </c>
    </row>
    <row r="20" spans="1:15" x14ac:dyDescent="0.25">
      <c r="A20" s="16" t="s">
        <v>15</v>
      </c>
      <c r="B20" s="40">
        <f>SUM(B16:B19)</f>
        <v>2100</v>
      </c>
      <c r="C20" s="40">
        <f>SUM(C16:C19)</f>
        <v>1689.1095890410959</v>
      </c>
      <c r="D20" s="40">
        <f t="shared" ref="D20:F20" si="3">SUM(D16:D19)</f>
        <v>1277.8150684931506</v>
      </c>
      <c r="E20" s="40">
        <f t="shared" si="3"/>
        <v>731.0760273972603</v>
      </c>
      <c r="F20" s="40">
        <f t="shared" si="3"/>
        <v>666.51239726027393</v>
      </c>
      <c r="G20" s="1"/>
      <c r="H20" s="31" t="s">
        <v>39</v>
      </c>
      <c r="I20" s="16">
        <f>-B12</f>
        <v>-2100</v>
      </c>
      <c r="J20" s="40">
        <f>+(J17-$B$1*C30)/((1+$B$2*(1-$B$1)))^J10</f>
        <v>590.84682440846814</v>
      </c>
      <c r="K20" s="40">
        <f>+(K17-$B$1*D30)/((1+$B$2*(1-$B$1)))^K10</f>
        <v>824.01222687648578</v>
      </c>
      <c r="L20" s="40">
        <f>+(L17-$B$1*E30)/((1+$B$2*(1-$B$1)))^L10</f>
        <v>656.52563218509079</v>
      </c>
      <c r="M20" s="40">
        <f>+(M17-$B$1*F30)/((1+$B$2*(1-$B$1)))^M10</f>
        <v>183.85225202635124</v>
      </c>
    </row>
    <row r="21" spans="1:15" x14ac:dyDescent="0.25">
      <c r="G21" s="1"/>
      <c r="H21" s="18" t="s">
        <v>0</v>
      </c>
      <c r="I21" s="40">
        <f>SUM(I20:M20)</f>
        <v>155.23693549639594</v>
      </c>
      <c r="J21" s="3"/>
      <c r="K21" s="21"/>
      <c r="L21" s="3"/>
      <c r="M21" s="3"/>
    </row>
    <row r="22" spans="1:15" x14ac:dyDescent="0.25">
      <c r="A22" s="39" t="s">
        <v>28</v>
      </c>
      <c r="B22" s="51">
        <f>IF(+B13-B20&gt;0,+B13-B20,0)</f>
        <v>0</v>
      </c>
      <c r="C22" s="51">
        <f t="shared" ref="C22:F22" si="4">IF(+C13-C20&gt;0,+C13-C20,0)</f>
        <v>130.06849315068507</v>
      </c>
      <c r="D22" s="51">
        <f t="shared" si="4"/>
        <v>0</v>
      </c>
      <c r="E22" s="51">
        <f t="shared" si="4"/>
        <v>0</v>
      </c>
      <c r="F22" s="51">
        <f t="shared" si="4"/>
        <v>0</v>
      </c>
      <c r="G22" s="1"/>
      <c r="H22" s="1"/>
      <c r="I22" s="1"/>
      <c r="J22" s="1"/>
      <c r="K22" s="1"/>
      <c r="L22" s="1"/>
      <c r="M22" s="1"/>
    </row>
    <row r="23" spans="1:15" x14ac:dyDescent="0.25">
      <c r="A23" s="24" t="s">
        <v>29</v>
      </c>
      <c r="B23" s="52">
        <f>IF(+B13-B20&lt;0,-B13+B20,0)</f>
        <v>0</v>
      </c>
      <c r="C23" s="52">
        <f t="shared" ref="C23:F23" si="5">IF(+C13-C20&lt;0,-C13+C20,0)</f>
        <v>0</v>
      </c>
      <c r="D23" s="52">
        <f t="shared" si="5"/>
        <v>133.97945205479436</v>
      </c>
      <c r="E23" s="52">
        <f t="shared" si="5"/>
        <v>361.21301369863011</v>
      </c>
      <c r="F23" s="52">
        <f t="shared" si="5"/>
        <v>666.51239726027393</v>
      </c>
      <c r="G23" s="1"/>
      <c r="H23" s="1"/>
      <c r="I23" s="1"/>
      <c r="J23" s="1"/>
      <c r="K23" s="1"/>
      <c r="L23" s="1"/>
      <c r="M23" s="1"/>
    </row>
    <row r="24" spans="1:15" x14ac:dyDescent="0.25">
      <c r="B24" s="3"/>
      <c r="C24" s="3"/>
      <c r="D24" s="21"/>
      <c r="E24" s="3"/>
      <c r="F24" s="3"/>
      <c r="G24" s="1"/>
      <c r="H24" s="1"/>
      <c r="I24" s="1"/>
      <c r="J24" s="1"/>
      <c r="K24" s="1"/>
      <c r="L24" s="1"/>
      <c r="M24" s="1"/>
    </row>
    <row r="25" spans="1:15" x14ac:dyDescent="0.25">
      <c r="A25" s="18" t="s">
        <v>20</v>
      </c>
      <c r="B25" s="28">
        <v>0</v>
      </c>
      <c r="C25" s="28">
        <v>1</v>
      </c>
      <c r="D25" s="29">
        <v>2</v>
      </c>
      <c r="E25" s="28">
        <v>3</v>
      </c>
      <c r="F25" s="28">
        <v>4</v>
      </c>
      <c r="G25" s="1"/>
      <c r="H25" s="63"/>
      <c r="I25" s="1"/>
      <c r="J25" s="1"/>
      <c r="K25" s="1"/>
      <c r="L25" s="1"/>
      <c r="M25" s="1"/>
    </row>
    <row r="26" spans="1:15" x14ac:dyDescent="0.25">
      <c r="A26" s="14" t="s">
        <v>21</v>
      </c>
      <c r="B26" s="14"/>
      <c r="C26" s="42">
        <v>1700</v>
      </c>
      <c r="D26" s="42">
        <v>1800</v>
      </c>
      <c r="E26" s="43">
        <v>1500</v>
      </c>
      <c r="F26" s="42">
        <v>0</v>
      </c>
      <c r="G26" s="1"/>
      <c r="H26" s="63"/>
      <c r="I26" s="1"/>
      <c r="J26" s="1"/>
      <c r="K26" s="1"/>
      <c r="L26" s="1"/>
      <c r="M26" s="1"/>
    </row>
    <row r="27" spans="1:15" x14ac:dyDescent="0.25">
      <c r="A27" s="14" t="s">
        <v>22</v>
      </c>
      <c r="B27" s="14"/>
      <c r="C27" s="53">
        <f>-0.35*C26</f>
        <v>-595</v>
      </c>
      <c r="D27" s="53">
        <f>-0.35*D26</f>
        <v>-630</v>
      </c>
      <c r="E27" s="53">
        <f>-0.35*E26</f>
        <v>-525</v>
      </c>
      <c r="F27" s="53">
        <v>0</v>
      </c>
      <c r="G27" s="1"/>
      <c r="H27" s="1"/>
      <c r="I27" s="1"/>
      <c r="J27" s="1"/>
      <c r="K27" s="1"/>
      <c r="L27" s="1"/>
      <c r="M27" s="1"/>
    </row>
    <row r="28" spans="1:15" x14ac:dyDescent="0.25">
      <c r="A28" s="14" t="s">
        <v>23</v>
      </c>
      <c r="B28" s="14"/>
      <c r="C28" s="41">
        <v>-150</v>
      </c>
      <c r="D28" s="54">
        <v>-155</v>
      </c>
      <c r="E28" s="55">
        <v>-155</v>
      </c>
      <c r="F28" s="41">
        <v>0</v>
      </c>
      <c r="G28" s="1"/>
      <c r="H28" s="1"/>
      <c r="I28" s="1"/>
      <c r="J28" s="1"/>
      <c r="K28" s="1"/>
      <c r="L28" s="1"/>
      <c r="M28" s="1"/>
      <c r="O28" s="1"/>
    </row>
    <row r="29" spans="1:15" x14ac:dyDescent="0.25">
      <c r="A29" s="12" t="s">
        <v>24</v>
      </c>
      <c r="B29" s="14"/>
      <c r="C29" s="44">
        <v>-700</v>
      </c>
      <c r="D29" s="44">
        <v>-700</v>
      </c>
      <c r="E29" s="45">
        <f>-B12-D29-C29</f>
        <v>-700</v>
      </c>
      <c r="F29" s="44">
        <v>0</v>
      </c>
      <c r="G29" s="1"/>
      <c r="H29" s="1"/>
      <c r="I29" s="1"/>
      <c r="J29" s="1"/>
      <c r="K29" s="1"/>
      <c r="L29" s="1"/>
      <c r="M29" s="1"/>
    </row>
    <row r="30" spans="1:15" x14ac:dyDescent="0.25">
      <c r="A30" s="18" t="s">
        <v>25</v>
      </c>
      <c r="B30" s="14"/>
      <c r="C30" s="40">
        <f>SUM(C26:C29)</f>
        <v>255</v>
      </c>
      <c r="D30" s="56">
        <f>SUM(D26:D29)</f>
        <v>315</v>
      </c>
      <c r="E30" s="40">
        <f>SUM(E26:E29)</f>
        <v>120</v>
      </c>
      <c r="F30" s="40">
        <f>SUM(F26:F29)</f>
        <v>0</v>
      </c>
      <c r="G30" s="1"/>
      <c r="H30" s="1"/>
      <c r="I30" s="1"/>
      <c r="J30" s="1"/>
      <c r="K30" s="1"/>
      <c r="L30" s="1"/>
      <c r="M30" s="1"/>
    </row>
    <row r="31" spans="1:15" x14ac:dyDescent="0.25">
      <c r="A31" s="14" t="s">
        <v>26</v>
      </c>
      <c r="B31" s="14"/>
      <c r="C31" s="48">
        <f>-$B$2*B17</f>
        <v>-180</v>
      </c>
      <c r="D31" s="48">
        <f>-$B$2*C17</f>
        <v>-120</v>
      </c>
      <c r="E31" s="49">
        <f>-$B$2*D17</f>
        <v>-60</v>
      </c>
      <c r="F31" s="48">
        <f>-$B$2*E17</f>
        <v>0</v>
      </c>
      <c r="G31" s="3"/>
      <c r="O31" s="1"/>
    </row>
    <row r="32" spans="1:15" x14ac:dyDescent="0.25">
      <c r="A32" s="12" t="s">
        <v>27</v>
      </c>
      <c r="B32" s="14"/>
      <c r="C32" s="51"/>
      <c r="D32" s="51">
        <f>-C22*$B$2</f>
        <v>-13.006849315068507</v>
      </c>
      <c r="E32" s="57">
        <f>-D22*$B$2</f>
        <v>0</v>
      </c>
      <c r="F32" s="51">
        <f>-E22*$B$2</f>
        <v>0</v>
      </c>
      <c r="G32" s="3"/>
    </row>
    <row r="33" spans="1:13" x14ac:dyDescent="0.25">
      <c r="A33" s="12" t="s">
        <v>46</v>
      </c>
      <c r="B33" s="14"/>
      <c r="C33" s="52"/>
      <c r="D33" s="52">
        <f>IF(C23&gt;=0,+$B$2*C23,0)</f>
        <v>0</v>
      </c>
      <c r="E33" s="58">
        <f>IF(D23&gt;=0,+$B$2*D23,0)</f>
        <v>13.397945205479438</v>
      </c>
      <c r="F33" s="52">
        <f>IF(E23&gt;=0,+$B$2*E23,0)</f>
        <v>36.121301369863012</v>
      </c>
      <c r="G33" s="3"/>
      <c r="H33" s="2"/>
      <c r="I33" s="2"/>
      <c r="J33" s="3"/>
      <c r="K33" s="21"/>
      <c r="L33" s="3"/>
      <c r="M33" s="3"/>
    </row>
    <row r="34" spans="1:13" x14ac:dyDescent="0.25">
      <c r="A34" s="18" t="s">
        <v>30</v>
      </c>
      <c r="B34" s="14"/>
      <c r="C34" s="40">
        <f>SUM(C30:C33)</f>
        <v>75</v>
      </c>
      <c r="D34" s="56">
        <f>SUM(D30:D33)</f>
        <v>181.99315068493149</v>
      </c>
      <c r="E34" s="40">
        <f>SUM(E30:E33)</f>
        <v>73.397945205479431</v>
      </c>
      <c r="F34" s="40">
        <f>SUM(F30:F33)</f>
        <v>36.121301369863012</v>
      </c>
      <c r="G34" s="3"/>
      <c r="H34" s="2"/>
      <c r="I34" s="2"/>
    </row>
    <row r="35" spans="1:13" x14ac:dyDescent="0.25">
      <c r="A35" s="12" t="s">
        <v>31</v>
      </c>
      <c r="B35" s="14"/>
      <c r="C35" s="41">
        <f>-$B$1*C34</f>
        <v>0</v>
      </c>
      <c r="D35" s="54">
        <f>-$B$1*D34</f>
        <v>0</v>
      </c>
      <c r="E35" s="55">
        <f>-$B$1*E34</f>
        <v>0</v>
      </c>
      <c r="F35" s="41">
        <f>-$B$1*F34</f>
        <v>0</v>
      </c>
      <c r="G35" s="3"/>
      <c r="H35" s="2"/>
      <c r="I35" s="2"/>
    </row>
    <row r="36" spans="1:13" x14ac:dyDescent="0.25">
      <c r="A36" s="18" t="s">
        <v>42</v>
      </c>
      <c r="B36" s="14"/>
      <c r="C36" s="59">
        <f>+C35+C34</f>
        <v>75</v>
      </c>
      <c r="D36" s="59">
        <f>+D35+D34</f>
        <v>181.99315068493149</v>
      </c>
      <c r="E36" s="59">
        <f>+E35+E34</f>
        <v>73.397945205479431</v>
      </c>
      <c r="F36" s="59">
        <f>+F35+F34</f>
        <v>36.121301369863012</v>
      </c>
      <c r="G36" s="3"/>
    </row>
    <row r="37" spans="1:13" x14ac:dyDescent="0.25">
      <c r="G37" s="3"/>
    </row>
    <row r="38" spans="1:13" x14ac:dyDescent="0.25">
      <c r="G38" s="3"/>
    </row>
    <row r="39" spans="1:13" x14ac:dyDescent="0.25">
      <c r="G39" s="3"/>
    </row>
    <row r="40" spans="1:13" x14ac:dyDescent="0.25">
      <c r="G40" s="3"/>
    </row>
    <row r="41" spans="1:13" x14ac:dyDescent="0.25">
      <c r="G41" s="3"/>
    </row>
    <row r="42" spans="1:13" x14ac:dyDescent="0.25">
      <c r="G42" s="3"/>
    </row>
    <row r="43" spans="1:13" x14ac:dyDescent="0.25">
      <c r="A43" s="2"/>
      <c r="B43" s="3"/>
      <c r="C43" s="3"/>
      <c r="D43" s="21"/>
      <c r="E43" s="3"/>
      <c r="F43" s="3"/>
      <c r="G43" s="3"/>
      <c r="H43" s="3"/>
    </row>
    <row r="44" spans="1:13" x14ac:dyDescent="0.25">
      <c r="A44" s="2"/>
      <c r="B44" s="3"/>
      <c r="C44" s="3"/>
      <c r="D44" s="21"/>
      <c r="E44" s="3"/>
      <c r="F44" s="3"/>
      <c r="G44" s="3"/>
      <c r="H44" s="3"/>
    </row>
    <row r="45" spans="1:13" x14ac:dyDescent="0.25">
      <c r="A45" s="2"/>
      <c r="B45" s="3"/>
      <c r="C45" s="3"/>
      <c r="D45" s="21"/>
      <c r="E45" s="3"/>
      <c r="F45" s="3"/>
      <c r="G45" s="3"/>
      <c r="H45" s="3"/>
    </row>
    <row r="46" spans="1:13" x14ac:dyDescent="0.25">
      <c r="A46" s="2"/>
      <c r="B46" s="3"/>
      <c r="C46" s="3"/>
      <c r="D46" s="21"/>
      <c r="E46" s="3"/>
      <c r="F46" s="3"/>
      <c r="G46" s="3"/>
      <c r="H46" s="3"/>
    </row>
    <row r="47" spans="1:13" x14ac:dyDescent="0.25">
      <c r="G47" s="3"/>
      <c r="H47" s="3"/>
    </row>
    <row r="48" spans="1:13" x14ac:dyDescent="0.25">
      <c r="G48" s="3"/>
      <c r="H48" s="3"/>
    </row>
    <row r="49" spans="1:8" x14ac:dyDescent="0.25">
      <c r="G49" s="3"/>
      <c r="H49" s="3"/>
    </row>
    <row r="50" spans="1:8" x14ac:dyDescent="0.25">
      <c r="A50" s="2"/>
      <c r="B50" s="3"/>
      <c r="C50" s="6"/>
      <c r="D50" s="22"/>
      <c r="E50" s="6"/>
      <c r="F50" s="6"/>
      <c r="G50" s="6"/>
    </row>
    <row r="51" spans="1:8" x14ac:dyDescent="0.25">
      <c r="E51" s="3"/>
      <c r="F51" s="3"/>
    </row>
    <row r="52" spans="1:8" x14ac:dyDescent="0.25">
      <c r="E52" s="3"/>
      <c r="F52" s="3"/>
    </row>
    <row r="53" spans="1:8" x14ac:dyDescent="0.25">
      <c r="E53" s="3"/>
      <c r="F53" s="3"/>
    </row>
    <row r="54" spans="1:8" x14ac:dyDescent="0.25">
      <c r="E54" s="6"/>
      <c r="F54" s="1"/>
    </row>
    <row r="59" spans="1:8" x14ac:dyDescent="0.25">
      <c r="G59" s="9"/>
    </row>
    <row r="66" spans="1:8" x14ac:dyDescent="0.25">
      <c r="G66" s="1"/>
      <c r="H66" s="1"/>
    </row>
    <row r="67" spans="1:8" x14ac:dyDescent="0.25">
      <c r="G67" s="3"/>
      <c r="H67" s="3"/>
    </row>
    <row r="68" spans="1:8" x14ac:dyDescent="0.25">
      <c r="G68" s="1"/>
      <c r="H68" s="1"/>
    </row>
    <row r="69" spans="1:8" x14ac:dyDescent="0.25">
      <c r="G69" s="3"/>
      <c r="H69" s="3"/>
    </row>
    <row r="70" spans="1:8" x14ac:dyDescent="0.25">
      <c r="C70" s="1"/>
      <c r="D70" s="20"/>
      <c r="E70" s="6"/>
      <c r="F70" s="1"/>
    </row>
    <row r="71" spans="1:8" x14ac:dyDescent="0.25">
      <c r="A71" s="2"/>
    </row>
    <row r="73" spans="1:8" x14ac:dyDescent="0.25">
      <c r="C73" s="5"/>
      <c r="D73" s="23"/>
      <c r="E73" s="5"/>
      <c r="F73" s="5"/>
    </row>
    <row r="74" spans="1:8" x14ac:dyDescent="0.25">
      <c r="C74" s="5"/>
      <c r="D74" s="23"/>
      <c r="E74" s="5"/>
      <c r="F74" s="5"/>
    </row>
    <row r="75" spans="1:8" x14ac:dyDescent="0.25">
      <c r="C75" s="5"/>
      <c r="D75" s="23"/>
      <c r="E75" s="5"/>
      <c r="F75" s="5"/>
    </row>
    <row r="77" spans="1:8" x14ac:dyDescent="0.25">
      <c r="C77" s="5"/>
      <c r="D77" s="23"/>
      <c r="E77" s="5"/>
      <c r="F77" s="5"/>
    </row>
    <row r="78" spans="1:8" x14ac:dyDescent="0.25">
      <c r="C78" s="5"/>
      <c r="D78" s="23"/>
      <c r="E78" s="5"/>
      <c r="F78" s="5"/>
    </row>
    <row r="79" spans="1:8" x14ac:dyDescent="0.25">
      <c r="C79" s="5"/>
      <c r="D79" s="23"/>
      <c r="E79" s="5"/>
      <c r="F79" s="5"/>
    </row>
    <row r="82" spans="1:6" x14ac:dyDescent="0.25">
      <c r="C82" s="5"/>
      <c r="D82" s="23"/>
      <c r="E82" s="5"/>
      <c r="F82" s="5"/>
    </row>
    <row r="83" spans="1:6" x14ac:dyDescent="0.25">
      <c r="C83" s="5"/>
      <c r="D83" s="23"/>
      <c r="E83" s="5"/>
      <c r="F83" s="5"/>
    </row>
    <row r="84" spans="1:6" x14ac:dyDescent="0.25">
      <c r="C84" s="5"/>
      <c r="D84" s="23"/>
      <c r="E84" s="5"/>
      <c r="F84" s="5"/>
    </row>
    <row r="86" spans="1:6" x14ac:dyDescent="0.25">
      <c r="C86" s="5"/>
      <c r="D86" s="23"/>
      <c r="E86" s="5"/>
      <c r="F86" s="5"/>
    </row>
    <row r="87" spans="1:6" x14ac:dyDescent="0.25">
      <c r="C87" s="5"/>
      <c r="D87" s="23"/>
      <c r="E87" s="5"/>
      <c r="F87" s="5"/>
    </row>
    <row r="88" spans="1:6" x14ac:dyDescent="0.25">
      <c r="C88" s="5"/>
      <c r="D88" s="23"/>
      <c r="E88" s="5"/>
      <c r="F88" s="5"/>
    </row>
    <row r="90" spans="1:6" x14ac:dyDescent="0.25">
      <c r="A90" s="2"/>
    </row>
    <row r="91" spans="1:6" x14ac:dyDescent="0.25">
      <c r="C91" s="1"/>
      <c r="D91" s="20"/>
      <c r="E91" s="6"/>
      <c r="F91" s="7"/>
    </row>
    <row r="92" spans="1:6" x14ac:dyDescent="0.25">
      <c r="C92" s="1"/>
      <c r="D92" s="20"/>
      <c r="E92" s="6"/>
      <c r="F92" s="7"/>
    </row>
    <row r="96" spans="1:6" x14ac:dyDescent="0.25">
      <c r="A96" s="2"/>
    </row>
    <row r="97" spans="1:7" x14ac:dyDescent="0.25">
      <c r="B97" s="10"/>
    </row>
    <row r="98" spans="1:7" x14ac:dyDescent="0.25">
      <c r="B98" s="10"/>
    </row>
    <row r="100" spans="1:7" x14ac:dyDescent="0.25">
      <c r="A100" s="2"/>
    </row>
    <row r="102" spans="1:7" x14ac:dyDescent="0.25">
      <c r="A102" s="11"/>
      <c r="B102" s="1"/>
      <c r="C102" s="1"/>
      <c r="D102" s="20"/>
      <c r="E102" s="6"/>
      <c r="F102" s="1"/>
      <c r="G102" s="1"/>
    </row>
    <row r="103" spans="1:7" x14ac:dyDescent="0.25">
      <c r="B103" s="1"/>
    </row>
    <row r="104" spans="1:7" x14ac:dyDescent="0.25">
      <c r="A104" s="11"/>
      <c r="B104" s="1"/>
      <c r="C104" s="1"/>
      <c r="D104" s="20"/>
      <c r="E104" s="6"/>
      <c r="F104" s="1"/>
      <c r="G104" s="1"/>
    </row>
    <row r="105" spans="1:7" x14ac:dyDescent="0.25">
      <c r="B105" s="1"/>
      <c r="C105" s="1"/>
      <c r="D105" s="20"/>
      <c r="E105" s="6"/>
      <c r="F105" s="1"/>
    </row>
    <row r="106" spans="1:7" x14ac:dyDescent="0.25">
      <c r="B106" s="1"/>
      <c r="C106" s="1"/>
      <c r="D106" s="20"/>
      <c r="E106" s="6"/>
      <c r="F106" s="1"/>
    </row>
  </sheetData>
  <pageMargins left="0.7" right="0.7" top="0.75" bottom="0.75" header="0.3" footer="0.3"/>
  <pageSetup paperSize="9" orientation="portrait" r:id="rId1"/>
  <ignoredErrors>
    <ignoredError sqref="B10:F10 B15:F15" twoDigitTextYear="1"/>
    <ignoredError sqref="B1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G8"/>
  <sheetViews>
    <sheetView showGridLines="0" workbookViewId="0">
      <selection activeCell="D6" sqref="D6:F8"/>
    </sheetView>
    <sheetView workbookViewId="1">
      <selection sqref="A1:G1"/>
    </sheetView>
  </sheetViews>
  <sheetFormatPr defaultRowHeight="15" x14ac:dyDescent="0.25"/>
  <cols>
    <col min="1" max="1" width="11.85546875" style="70" customWidth="1"/>
    <col min="2" max="2" width="22.7109375" customWidth="1"/>
    <col min="6" max="6" width="11.85546875" customWidth="1"/>
    <col min="7" max="7" width="56.28515625" customWidth="1"/>
  </cols>
  <sheetData>
    <row r="1" spans="1:7" ht="23.25" x14ac:dyDescent="0.35">
      <c r="A1" s="93" t="s">
        <v>52</v>
      </c>
      <c r="B1" s="93"/>
      <c r="C1" s="93"/>
      <c r="D1" s="93"/>
      <c r="E1" s="93"/>
      <c r="F1" s="93"/>
      <c r="G1" s="93"/>
    </row>
    <row r="2" spans="1:7" ht="12" customHeight="1" x14ac:dyDescent="0.35">
      <c r="A2" s="71"/>
      <c r="B2" s="71"/>
      <c r="C2" s="71"/>
      <c r="D2" s="71"/>
      <c r="E2" s="71"/>
      <c r="F2" s="71"/>
    </row>
    <row r="3" spans="1:7" ht="162" customHeight="1" x14ac:dyDescent="0.25">
      <c r="A3" s="92" t="s">
        <v>53</v>
      </c>
      <c r="B3" s="92"/>
      <c r="C3" s="92"/>
      <c r="D3" s="92"/>
      <c r="E3" s="92"/>
      <c r="F3" s="92"/>
      <c r="G3" s="92"/>
    </row>
    <row r="5" spans="1:7" x14ac:dyDescent="0.25">
      <c r="B5" s="72"/>
      <c r="C5" s="73" t="s">
        <v>48</v>
      </c>
      <c r="D5" s="73" t="s">
        <v>49</v>
      </c>
      <c r="E5" s="73" t="s">
        <v>50</v>
      </c>
      <c r="F5" s="73" t="s">
        <v>51</v>
      </c>
    </row>
    <row r="6" spans="1:7" x14ac:dyDescent="0.25">
      <c r="B6" s="74" t="s">
        <v>21</v>
      </c>
      <c r="C6" s="72"/>
      <c r="D6" s="15">
        <v>1700</v>
      </c>
      <c r="E6" s="15">
        <v>1800</v>
      </c>
      <c r="F6" s="15">
        <v>1500</v>
      </c>
    </row>
    <row r="7" spans="1:7" x14ac:dyDescent="0.25">
      <c r="B7" s="74" t="s">
        <v>22</v>
      </c>
      <c r="C7" s="72"/>
      <c r="D7" s="15">
        <v>-595</v>
      </c>
      <c r="E7" s="15">
        <v>-630</v>
      </c>
      <c r="F7" s="15">
        <v>-525</v>
      </c>
    </row>
    <row r="8" spans="1:7" x14ac:dyDescent="0.25">
      <c r="B8" s="74" t="s">
        <v>23</v>
      </c>
      <c r="C8" s="72"/>
      <c r="D8" s="15">
        <v>-150</v>
      </c>
      <c r="E8" s="15">
        <v>-155</v>
      </c>
      <c r="F8" s="15">
        <v>-155</v>
      </c>
    </row>
  </sheetData>
  <mergeCells count="2">
    <mergeCell ref="A3:G3"/>
    <mergeCell ref="A1:G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O104"/>
  <sheetViews>
    <sheetView tabSelected="1" topLeftCell="A21" zoomScale="150" zoomScaleNormal="150" workbookViewId="0">
      <selection activeCell="A13" sqref="A13"/>
    </sheetView>
    <sheetView tabSelected="1" topLeftCell="A23" zoomScale="160" zoomScaleNormal="160" workbookViewId="1">
      <selection activeCell="B44" sqref="B44"/>
    </sheetView>
  </sheetViews>
  <sheetFormatPr defaultRowHeight="15" x14ac:dyDescent="0.25"/>
  <cols>
    <col min="1" max="1" width="34.5703125" customWidth="1"/>
    <col min="2" max="2" width="9.140625" customWidth="1"/>
    <col min="3" max="3" width="8.85546875" customWidth="1"/>
    <col min="4" max="4" width="9.7109375" style="19" customWidth="1"/>
    <col min="5" max="5" width="9.140625" style="8"/>
    <col min="8" max="8" width="31.42578125" customWidth="1"/>
    <col min="9" max="13" width="9.140625" customWidth="1"/>
  </cols>
  <sheetData>
    <row r="1" spans="1:15" x14ac:dyDescent="0.25">
      <c r="A1" s="12" t="s">
        <v>45</v>
      </c>
      <c r="B1" s="13">
        <v>0</v>
      </c>
      <c r="D1" s="83" t="s">
        <v>60</v>
      </c>
      <c r="E1" s="84"/>
      <c r="F1" s="85"/>
      <c r="G1" s="36">
        <v>70</v>
      </c>
    </row>
    <row r="2" spans="1:15" x14ac:dyDescent="0.25">
      <c r="A2" s="14" t="s">
        <v>57</v>
      </c>
      <c r="B2" s="34"/>
      <c r="D2" s="14" t="s">
        <v>9</v>
      </c>
      <c r="E2" s="12"/>
      <c r="F2" s="14"/>
      <c r="G2" s="38">
        <v>3</v>
      </c>
      <c r="O2" s="19"/>
    </row>
    <row r="3" spans="1:15" x14ac:dyDescent="0.25">
      <c r="A3" s="14" t="s">
        <v>59</v>
      </c>
      <c r="B3" s="35">
        <v>90</v>
      </c>
      <c r="D3" s="14" t="s">
        <v>10</v>
      </c>
      <c r="E3" s="12"/>
      <c r="F3" s="14"/>
      <c r="G3" s="37">
        <v>3</v>
      </c>
      <c r="O3" s="33"/>
    </row>
    <row r="4" spans="1:15" x14ac:dyDescent="0.25">
      <c r="A4" s="14" t="s">
        <v>58</v>
      </c>
      <c r="B4" s="34">
        <v>0.1</v>
      </c>
    </row>
    <row r="6" spans="1:15" x14ac:dyDescent="0.25">
      <c r="A6" s="69" t="s">
        <v>11</v>
      </c>
      <c r="B6" s="25" t="s">
        <v>44</v>
      </c>
      <c r="C6" s="25" t="s">
        <v>2</v>
      </c>
      <c r="D6" s="26" t="s">
        <v>3</v>
      </c>
      <c r="E6" s="25" t="s">
        <v>4</v>
      </c>
      <c r="F6" s="25" t="s">
        <v>5</v>
      </c>
      <c r="H6" s="18" t="s">
        <v>20</v>
      </c>
      <c r="I6" s="28">
        <v>0</v>
      </c>
      <c r="J6" s="28">
        <v>1</v>
      </c>
      <c r="K6" s="29">
        <v>2</v>
      </c>
      <c r="L6" s="28">
        <v>3</v>
      </c>
      <c r="M6" s="28">
        <v>4</v>
      </c>
    </row>
    <row r="7" spans="1:15" x14ac:dyDescent="0.25">
      <c r="A7" s="14" t="s">
        <v>13</v>
      </c>
      <c r="B7" s="41"/>
      <c r="C7" s="42">
        <f>$B$3*J7/365</f>
        <v>419.17808219178085</v>
      </c>
      <c r="D7" s="42">
        <f t="shared" ref="D7:F7" si="0">$B$3*K7/365</f>
        <v>443.83561643835617</v>
      </c>
      <c r="E7" s="42">
        <f t="shared" si="0"/>
        <v>369.86301369863014</v>
      </c>
      <c r="F7" s="42">
        <f t="shared" si="0"/>
        <v>0</v>
      </c>
      <c r="H7" s="14" t="s">
        <v>21</v>
      </c>
      <c r="I7" s="14"/>
      <c r="J7" s="42">
        <v>1700</v>
      </c>
      <c r="K7" s="42">
        <v>1800</v>
      </c>
      <c r="L7" s="43">
        <v>1500</v>
      </c>
      <c r="M7" s="42"/>
    </row>
    <row r="8" spans="1:15" x14ac:dyDescent="0.25">
      <c r="A8" s="14" t="s">
        <v>14</v>
      </c>
      <c r="B8" s="44">
        <v>2100</v>
      </c>
      <c r="C8" s="44">
        <f>+B8+J10</f>
        <v>1400</v>
      </c>
      <c r="D8" s="44">
        <f t="shared" ref="D8:F8" si="1">+C8+K10</f>
        <v>700</v>
      </c>
      <c r="E8" s="44">
        <f t="shared" si="1"/>
        <v>0</v>
      </c>
      <c r="F8" s="44">
        <f t="shared" si="1"/>
        <v>0</v>
      </c>
      <c r="H8" s="14" t="s">
        <v>22</v>
      </c>
      <c r="I8" s="14"/>
      <c r="J8" s="53">
        <v>-595</v>
      </c>
      <c r="K8" s="53">
        <v>-630</v>
      </c>
      <c r="L8" s="53">
        <v>-525</v>
      </c>
      <c r="M8" s="53"/>
    </row>
    <row r="9" spans="1:15" x14ac:dyDescent="0.25">
      <c r="A9" s="16" t="s">
        <v>47</v>
      </c>
      <c r="B9" s="40">
        <f>SUM(B7:B8)</f>
        <v>2100</v>
      </c>
      <c r="C9" s="40">
        <f>SUM(C7:C8)</f>
        <v>1819.178082191781</v>
      </c>
      <c r="D9" s="40">
        <f>SUM(D7:D8)</f>
        <v>1143.8356164383563</v>
      </c>
      <c r="E9" s="40">
        <f>SUM(E7:E8)</f>
        <v>369.86301369863014</v>
      </c>
      <c r="F9" s="40">
        <f>SUM(F7:F8)</f>
        <v>0</v>
      </c>
      <c r="H9" s="14" t="s">
        <v>23</v>
      </c>
      <c r="I9" s="14"/>
      <c r="J9" s="41">
        <v>-150</v>
      </c>
      <c r="K9" s="54">
        <v>-155</v>
      </c>
      <c r="L9" s="55">
        <v>-155</v>
      </c>
      <c r="M9" s="41"/>
    </row>
    <row r="10" spans="1:15" x14ac:dyDescent="0.25">
      <c r="A10" s="24" t="s">
        <v>29</v>
      </c>
      <c r="B10" s="52"/>
      <c r="C10" s="52"/>
      <c r="D10" s="52">
        <f ca="1">+IF(D20-D9&gt;0,D20-D9,0)</f>
        <v>133.97945205479436</v>
      </c>
      <c r="E10" s="52">
        <f t="shared" ref="E10:F10" ca="1" si="2">+IF(E20-E9&gt;0,E20-E9,0)</f>
        <v>361.21301369863016</v>
      </c>
      <c r="F10" s="52">
        <f t="shared" ca="1" si="2"/>
        <v>666.51239726027393</v>
      </c>
      <c r="H10" s="12" t="s">
        <v>24</v>
      </c>
      <c r="I10" s="14"/>
      <c r="J10" s="44">
        <f>-B8/G3</f>
        <v>-700</v>
      </c>
      <c r="K10" s="44">
        <f>+J10</f>
        <v>-700</v>
      </c>
      <c r="L10" s="44">
        <f>+K10</f>
        <v>-700</v>
      </c>
      <c r="M10" s="44"/>
    </row>
    <row r="11" spans="1:15" x14ac:dyDescent="0.25">
      <c r="A11" s="16" t="s">
        <v>15</v>
      </c>
      <c r="B11" s="56">
        <f>+B10+B9</f>
        <v>2100</v>
      </c>
      <c r="C11" s="56">
        <f t="shared" ref="C11:F11" si="3">+C10+C9</f>
        <v>1819.178082191781</v>
      </c>
      <c r="D11" s="56">
        <f t="shared" ca="1" si="3"/>
        <v>1277.8150684931506</v>
      </c>
      <c r="E11" s="56">
        <f t="shared" ca="1" si="3"/>
        <v>731.0760273972603</v>
      </c>
      <c r="F11" s="56">
        <f t="shared" ca="1" si="3"/>
        <v>666.51239726027393</v>
      </c>
      <c r="H11" s="18" t="s">
        <v>25</v>
      </c>
      <c r="I11" s="14"/>
      <c r="J11" s="40">
        <f>SUM(J7:J10)</f>
        <v>255</v>
      </c>
      <c r="K11" s="40">
        <f t="shared" ref="K11:M11" si="4">SUM(K7:K10)</f>
        <v>315</v>
      </c>
      <c r="L11" s="40">
        <f t="shared" si="4"/>
        <v>120</v>
      </c>
      <c r="M11" s="40">
        <f t="shared" si="4"/>
        <v>0</v>
      </c>
    </row>
    <row r="12" spans="1:15" x14ac:dyDescent="0.25">
      <c r="H12" s="14" t="s">
        <v>26</v>
      </c>
      <c r="I12" s="14"/>
      <c r="J12" s="48">
        <f>-$B$4*B15</f>
        <v>-180</v>
      </c>
      <c r="K12" s="48">
        <f>-$B$4*C15</f>
        <v>-120</v>
      </c>
      <c r="L12" s="48">
        <f>-$B$4*D15</f>
        <v>-60</v>
      </c>
      <c r="M12" s="48">
        <f t="shared" ref="K12:M12" si="5">-$B$4*E15</f>
        <v>0</v>
      </c>
    </row>
    <row r="13" spans="1:15" x14ac:dyDescent="0.25">
      <c r="A13" s="69" t="s">
        <v>12</v>
      </c>
      <c r="B13" s="25" t="s">
        <v>44</v>
      </c>
      <c r="C13" s="25" t="s">
        <v>2</v>
      </c>
      <c r="D13" s="26" t="s">
        <v>3</v>
      </c>
      <c r="E13" s="25" t="s">
        <v>4</v>
      </c>
      <c r="F13" s="25" t="s">
        <v>5</v>
      </c>
      <c r="H13" s="12" t="s">
        <v>27</v>
      </c>
      <c r="I13" s="14"/>
      <c r="J13" s="51"/>
      <c r="K13" s="51">
        <f>-$B$4*C19</f>
        <v>-13.006849315068507</v>
      </c>
      <c r="L13" s="51">
        <f t="shared" ref="L13:M13" ca="1" si="6">-$B$4*D19</f>
        <v>0</v>
      </c>
      <c r="M13" s="51">
        <f t="shared" ca="1" si="6"/>
        <v>0</v>
      </c>
    </row>
    <row r="14" spans="1:15" x14ac:dyDescent="0.25">
      <c r="A14" s="14" t="s">
        <v>61</v>
      </c>
      <c r="B14" s="41"/>
      <c r="C14" s="46">
        <f>-$G$1*J8/365</f>
        <v>114.10958904109589</v>
      </c>
      <c r="D14" s="46">
        <f t="shared" ref="D14:F14" si="7">-$G$1*K8/365</f>
        <v>120.82191780821918</v>
      </c>
      <c r="E14" s="46">
        <f t="shared" si="7"/>
        <v>100.68493150684931</v>
      </c>
      <c r="F14" s="46">
        <f t="shared" si="7"/>
        <v>0</v>
      </c>
      <c r="H14" s="12" t="s">
        <v>46</v>
      </c>
      <c r="I14" s="14"/>
      <c r="J14" s="52"/>
      <c r="K14" s="52"/>
      <c r="L14" s="52">
        <f ca="1">+D10*$B$4</f>
        <v>13.397945205479438</v>
      </c>
      <c r="M14" s="52">
        <f t="shared" ref="M14" ca="1" si="8">+E10*$B$4</f>
        <v>36.121301369863019</v>
      </c>
    </row>
    <row r="15" spans="1:15" x14ac:dyDescent="0.25">
      <c r="A15" s="14" t="s">
        <v>17</v>
      </c>
      <c r="B15" s="48">
        <v>1800</v>
      </c>
      <c r="C15" s="48">
        <f>+B15-($B$15/$G$2)</f>
        <v>1200</v>
      </c>
      <c r="D15" s="48">
        <f>+C15-($B$15/$G$2)</f>
        <v>600</v>
      </c>
      <c r="E15" s="48">
        <f>+D15-($B$15/$G$2)</f>
        <v>0</v>
      </c>
      <c r="F15" s="48"/>
      <c r="H15" s="18" t="s">
        <v>30</v>
      </c>
      <c r="I15" s="14"/>
      <c r="J15" s="40">
        <f>SUM(J11:J14)</f>
        <v>75</v>
      </c>
      <c r="K15" s="40">
        <f t="shared" ref="K15:M15" si="9">SUM(K11:K14)</f>
        <v>181.99315068493149</v>
      </c>
      <c r="L15" s="40">
        <f t="shared" ca="1" si="9"/>
        <v>73.397945205479431</v>
      </c>
      <c r="M15" s="40">
        <f t="shared" ca="1" si="9"/>
        <v>36.121301369863019</v>
      </c>
    </row>
    <row r="16" spans="1:15" x14ac:dyDescent="0.25">
      <c r="A16" s="14" t="s">
        <v>18</v>
      </c>
      <c r="B16" s="50">
        <f>+B8-B15</f>
        <v>300</v>
      </c>
      <c r="C16" s="50">
        <f>+B16</f>
        <v>300</v>
      </c>
      <c r="D16" s="50">
        <f t="shared" ref="D16:F16" si="10">+C16</f>
        <v>300</v>
      </c>
      <c r="E16" s="50">
        <f t="shared" si="10"/>
        <v>300</v>
      </c>
      <c r="F16" s="50">
        <f t="shared" si="10"/>
        <v>300</v>
      </c>
      <c r="H16" s="12" t="s">
        <v>31</v>
      </c>
      <c r="I16" s="14"/>
      <c r="J16" s="41">
        <f>-J15*$B$1</f>
        <v>0</v>
      </c>
      <c r="K16" s="41">
        <f t="shared" ref="K16:M16" si="11">-K15*$B$1</f>
        <v>0</v>
      </c>
      <c r="L16" s="41">
        <f t="shared" ca="1" si="11"/>
        <v>0</v>
      </c>
      <c r="M16" s="41">
        <f t="shared" ca="1" si="11"/>
        <v>0</v>
      </c>
    </row>
    <row r="17" spans="1:15" x14ac:dyDescent="0.25">
      <c r="A17" s="17" t="s">
        <v>19</v>
      </c>
      <c r="B17" s="55"/>
      <c r="C17" s="55">
        <f>+J17</f>
        <v>75</v>
      </c>
      <c r="D17" s="55">
        <f>+K17+C17</f>
        <v>256.99315068493149</v>
      </c>
      <c r="E17" s="55">
        <f t="shared" ref="E17:F17" ca="1" si="12">+L17+D17</f>
        <v>330.39109589041095</v>
      </c>
      <c r="F17" s="55">
        <f t="shared" ca="1" si="12"/>
        <v>366.51239726027399</v>
      </c>
      <c r="H17" s="18" t="s">
        <v>42</v>
      </c>
      <c r="I17" s="14"/>
      <c r="J17" s="59">
        <f>J15+J16</f>
        <v>75</v>
      </c>
      <c r="K17" s="59">
        <f t="shared" ref="K17:M17" si="13">K15+K16</f>
        <v>181.99315068493149</v>
      </c>
      <c r="L17" s="59">
        <f t="shared" ca="1" si="13"/>
        <v>73.397945205479431</v>
      </c>
      <c r="M17" s="59">
        <f t="shared" ca="1" si="13"/>
        <v>36.121301369863019</v>
      </c>
    </row>
    <row r="18" spans="1:15" x14ac:dyDescent="0.25">
      <c r="A18" s="16" t="s">
        <v>47</v>
      </c>
      <c r="B18" s="40">
        <f>SUM(B14:B17)</f>
        <v>2100</v>
      </c>
      <c r="C18" s="40">
        <f t="shared" ref="C18:F18" si="14">SUM(C14:C17)</f>
        <v>1689.1095890410959</v>
      </c>
      <c r="D18" s="40">
        <f t="shared" si="14"/>
        <v>1277.8150684931506</v>
      </c>
      <c r="E18" s="40">
        <f t="shared" ca="1" si="14"/>
        <v>731.0760273972603</v>
      </c>
      <c r="F18" s="40">
        <f t="shared" ca="1" si="14"/>
        <v>666.51239726027393</v>
      </c>
      <c r="G18" s="1"/>
      <c r="H18" s="1"/>
      <c r="I18" s="1"/>
      <c r="J18" s="1"/>
      <c r="K18" s="1"/>
      <c r="L18" s="1"/>
      <c r="M18" s="1"/>
    </row>
    <row r="19" spans="1:15" x14ac:dyDescent="0.25">
      <c r="A19" s="39" t="s">
        <v>55</v>
      </c>
      <c r="B19" s="51"/>
      <c r="C19" s="51">
        <f>IF(C11-C18&gt;0,C11-C18,0)</f>
        <v>130.06849315068507</v>
      </c>
      <c r="D19" s="51">
        <f t="shared" ref="D19:F19" ca="1" si="15">IF(D11-D18&gt;0,D11-D18,0)</f>
        <v>0</v>
      </c>
      <c r="E19" s="51">
        <f t="shared" ca="1" si="15"/>
        <v>0</v>
      </c>
      <c r="F19" s="51">
        <f t="shared" ca="1" si="15"/>
        <v>0</v>
      </c>
      <c r="G19" s="1"/>
      <c r="H19" s="1"/>
      <c r="I19" s="1"/>
      <c r="J19" s="1"/>
      <c r="K19" s="1"/>
      <c r="L19" s="1"/>
      <c r="M19" s="1"/>
    </row>
    <row r="20" spans="1:15" x14ac:dyDescent="0.25">
      <c r="A20" s="16" t="s">
        <v>15</v>
      </c>
      <c r="B20" s="56"/>
      <c r="C20" s="56">
        <f>+C19+C18</f>
        <v>1819.178082191781</v>
      </c>
      <c r="D20" s="56">
        <f t="shared" ref="D20:F20" ca="1" si="16">+D19+D18</f>
        <v>1277.8150684931506</v>
      </c>
      <c r="E20" s="56">
        <f t="shared" ca="1" si="16"/>
        <v>731.0760273972603</v>
      </c>
      <c r="F20" s="56">
        <f t="shared" ca="1" si="16"/>
        <v>666.51239726027393</v>
      </c>
      <c r="G20" s="1"/>
      <c r="H20" s="1"/>
      <c r="I20" s="1"/>
      <c r="J20" s="1"/>
      <c r="K20" s="1"/>
      <c r="L20" s="1"/>
      <c r="M20" s="1"/>
    </row>
    <row r="21" spans="1:15" x14ac:dyDescent="0.25">
      <c r="G21" s="1"/>
      <c r="H21" s="1"/>
      <c r="I21" s="1"/>
      <c r="J21" s="1"/>
      <c r="K21" s="1"/>
      <c r="L21" s="1"/>
      <c r="M21" s="1"/>
    </row>
    <row r="22" spans="1:15" x14ac:dyDescent="0.25">
      <c r="B22" s="3"/>
      <c r="C22" s="3"/>
      <c r="D22" s="21"/>
      <c r="E22" s="3"/>
      <c r="F22" s="3"/>
      <c r="G22" s="1"/>
      <c r="H22" s="1"/>
      <c r="I22" s="1"/>
      <c r="J22" s="1"/>
      <c r="K22" s="1"/>
      <c r="L22" s="1"/>
      <c r="M22" s="1"/>
    </row>
    <row r="23" spans="1:15" x14ac:dyDescent="0.25">
      <c r="A23" s="86" t="s">
        <v>43</v>
      </c>
      <c r="B23" s="87"/>
      <c r="C23" s="87"/>
      <c r="D23" s="87"/>
      <c r="E23" s="88"/>
      <c r="F23" s="15">
        <f ca="1">+F11</f>
        <v>666.51239726027393</v>
      </c>
      <c r="G23" s="1"/>
    </row>
    <row r="24" spans="1:15" x14ac:dyDescent="0.25">
      <c r="A24" s="89" t="s">
        <v>62</v>
      </c>
      <c r="B24" s="90"/>
      <c r="C24" s="90"/>
      <c r="D24" s="90"/>
      <c r="E24" s="91"/>
      <c r="F24" s="15">
        <f>300*1.1^4</f>
        <v>439.23000000000013</v>
      </c>
      <c r="G24" s="1"/>
    </row>
    <row r="25" spans="1:15" x14ac:dyDescent="0.25">
      <c r="A25" s="83" t="s">
        <v>63</v>
      </c>
      <c r="B25" s="84"/>
      <c r="C25" s="84"/>
      <c r="D25" s="84"/>
      <c r="E25" s="85"/>
      <c r="F25" s="15">
        <f ca="1">+F23-F24</f>
        <v>227.2823972602738</v>
      </c>
      <c r="G25" s="1"/>
    </row>
    <row r="26" spans="1:15" x14ac:dyDescent="0.25">
      <c r="A26" s="83" t="s">
        <v>64</v>
      </c>
      <c r="B26" s="84"/>
      <c r="C26" s="84"/>
      <c r="D26" s="84"/>
      <c r="E26" s="85"/>
      <c r="F26" s="35">
        <f ca="1">+F25/(1.1^4)</f>
        <v>155.23693549639623</v>
      </c>
      <c r="G26" s="1"/>
      <c r="O26" s="1"/>
    </row>
    <row r="27" spans="1:15" x14ac:dyDescent="0.25">
      <c r="D27" s="1"/>
      <c r="E27"/>
      <c r="G27" s="1"/>
    </row>
    <row r="28" spans="1:15" x14ac:dyDescent="0.25">
      <c r="A28" s="81" t="s">
        <v>65</v>
      </c>
      <c r="B28" s="81"/>
      <c r="C28" s="81"/>
      <c r="D28" s="81"/>
      <c r="E28" s="81"/>
      <c r="F28" s="94">
        <f ca="1">+F23/1.1^4</f>
        <v>455.23693549639626</v>
      </c>
      <c r="G28" s="1"/>
    </row>
    <row r="29" spans="1:15" x14ac:dyDescent="0.25">
      <c r="A29" s="81" t="s">
        <v>41</v>
      </c>
      <c r="B29" s="81"/>
      <c r="C29" s="81"/>
      <c r="D29" s="81"/>
      <c r="E29" s="81"/>
      <c r="F29" s="61">
        <v>300</v>
      </c>
      <c r="G29" s="3"/>
      <c r="O29" s="1"/>
    </row>
    <row r="30" spans="1:15" x14ac:dyDescent="0.25">
      <c r="A30" s="82" t="s">
        <v>40</v>
      </c>
      <c r="B30" s="82"/>
      <c r="C30" s="82"/>
      <c r="D30" s="82"/>
      <c r="E30" s="82"/>
      <c r="F30" s="95">
        <f ca="1">+F28-F29</f>
        <v>155.23693549639626</v>
      </c>
      <c r="G30" s="3"/>
    </row>
    <row r="31" spans="1:15" x14ac:dyDescent="0.25">
      <c r="G31" s="3"/>
      <c r="H31" s="2"/>
      <c r="I31" s="2"/>
      <c r="J31" s="3"/>
      <c r="K31" s="21"/>
      <c r="L31" s="3"/>
      <c r="M31" s="3"/>
    </row>
    <row r="32" spans="1:15" x14ac:dyDescent="0.25">
      <c r="A32" s="18" t="s">
        <v>32</v>
      </c>
      <c r="B32" s="75">
        <v>0</v>
      </c>
      <c r="C32" s="76">
        <v>1</v>
      </c>
      <c r="D32" s="77">
        <v>2</v>
      </c>
      <c r="E32" s="76">
        <v>3</v>
      </c>
      <c r="F32" s="76">
        <v>4</v>
      </c>
      <c r="G32" s="3"/>
      <c r="H32" s="3"/>
      <c r="I32" s="2"/>
    </row>
    <row r="33" spans="1:12" x14ac:dyDescent="0.25">
      <c r="A33" s="12" t="str">
        <f>+H11</f>
        <v>Operating Income</v>
      </c>
      <c r="B33" s="16"/>
      <c r="C33" s="17">
        <f>J11</f>
        <v>255</v>
      </c>
      <c r="D33" s="17">
        <f t="shared" ref="D33:F33" si="17">K11</f>
        <v>315</v>
      </c>
      <c r="E33" s="17">
        <f t="shared" si="17"/>
        <v>120</v>
      </c>
      <c r="F33" s="17">
        <f t="shared" si="17"/>
        <v>0</v>
      </c>
      <c r="G33" s="3"/>
    </row>
    <row r="34" spans="1:12" x14ac:dyDescent="0.25">
      <c r="A34" s="12" t="str">
        <f>+H10</f>
        <v>Depreciation &amp; Amortisation</v>
      </c>
      <c r="B34" s="16"/>
      <c r="C34" s="17">
        <f>-J10</f>
        <v>700</v>
      </c>
      <c r="D34" s="17">
        <f t="shared" ref="D34:F34" si="18">-K10</f>
        <v>700</v>
      </c>
      <c r="E34" s="17">
        <f t="shared" si="18"/>
        <v>700</v>
      </c>
      <c r="F34" s="17">
        <f t="shared" si="18"/>
        <v>0</v>
      </c>
      <c r="G34" s="3"/>
    </row>
    <row r="35" spans="1:12" x14ac:dyDescent="0.25">
      <c r="A35" s="18" t="s">
        <v>66</v>
      </c>
      <c r="B35" s="16"/>
      <c r="C35" s="16">
        <f>C34+C33</f>
        <v>955</v>
      </c>
      <c r="D35" s="16">
        <f t="shared" ref="D35:F35" si="19">D34+D33</f>
        <v>1015</v>
      </c>
      <c r="E35" s="16">
        <f t="shared" si="19"/>
        <v>820</v>
      </c>
      <c r="F35" s="16">
        <f t="shared" si="19"/>
        <v>0</v>
      </c>
      <c r="G35" s="3"/>
    </row>
    <row r="36" spans="1:12" x14ac:dyDescent="0.25">
      <c r="A36" s="12" t="s">
        <v>34</v>
      </c>
      <c r="B36" s="16"/>
      <c r="C36" s="17">
        <f>+B7-C7</f>
        <v>-419.17808219178085</v>
      </c>
      <c r="D36" s="17">
        <f t="shared" ref="D36:F36" si="20">+C7-D7</f>
        <v>-24.657534246575324</v>
      </c>
      <c r="E36" s="17">
        <f t="shared" si="20"/>
        <v>73.972602739726028</v>
      </c>
      <c r="F36" s="17">
        <f t="shared" si="20"/>
        <v>369.86301369863014</v>
      </c>
      <c r="G36" s="3"/>
    </row>
    <row r="37" spans="1:12" x14ac:dyDescent="0.25">
      <c r="A37" s="12" t="s">
        <v>36</v>
      </c>
      <c r="B37" s="16"/>
      <c r="C37" s="17"/>
      <c r="D37" s="17"/>
      <c r="E37" s="17"/>
      <c r="F37" s="17"/>
      <c r="G37" s="3"/>
    </row>
    <row r="38" spans="1:12" x14ac:dyDescent="0.25">
      <c r="A38" s="12" t="s">
        <v>67</v>
      </c>
      <c r="B38" s="16"/>
      <c r="C38" s="17">
        <f>+C14-B14</f>
        <v>114.10958904109589</v>
      </c>
      <c r="D38" s="17">
        <f t="shared" ref="D38:F38" si="21">+D14-C14</f>
        <v>6.7123287671232958</v>
      </c>
      <c r="E38" s="17">
        <f t="shared" si="21"/>
        <v>-20.136986301369873</v>
      </c>
      <c r="F38" s="17">
        <f t="shared" si="21"/>
        <v>-100.68493150684931</v>
      </c>
    </row>
    <row r="39" spans="1:12" x14ac:dyDescent="0.25">
      <c r="A39" s="18" t="s">
        <v>54</v>
      </c>
      <c r="B39" s="16"/>
      <c r="C39" s="16">
        <f>SUM(C35:C38)</f>
        <v>649.93150684931504</v>
      </c>
      <c r="D39" s="16">
        <f t="shared" ref="D39:F39" si="22">SUM(D35:D38)</f>
        <v>997.05479452054794</v>
      </c>
      <c r="E39" s="16">
        <f t="shared" si="22"/>
        <v>873.83561643835606</v>
      </c>
      <c r="F39" s="16">
        <f t="shared" si="22"/>
        <v>269.17808219178085</v>
      </c>
    </row>
    <row r="40" spans="1:12" x14ac:dyDescent="0.25">
      <c r="A40" s="12" t="s">
        <v>37</v>
      </c>
      <c r="B40" s="17">
        <f>-B8</f>
        <v>-2100</v>
      </c>
      <c r="C40" s="17"/>
      <c r="D40" s="30"/>
      <c r="E40" s="17"/>
      <c r="F40" s="17"/>
    </row>
    <row r="41" spans="1:12" x14ac:dyDescent="0.25">
      <c r="A41" s="78" t="s">
        <v>56</v>
      </c>
      <c r="B41" s="79"/>
      <c r="C41" s="80"/>
      <c r="D41" s="80"/>
      <c r="E41" s="80"/>
      <c r="F41" s="80"/>
    </row>
    <row r="42" spans="1:12" x14ac:dyDescent="0.25">
      <c r="A42" s="31" t="s">
        <v>38</v>
      </c>
      <c r="B42" s="32">
        <f>B40+B39</f>
        <v>-2100</v>
      </c>
      <c r="C42" s="32">
        <f t="shared" ref="C42:F42" si="23">C40+C39</f>
        <v>649.93150684931504</v>
      </c>
      <c r="D42" s="32">
        <f t="shared" si="23"/>
        <v>997.05479452054794</v>
      </c>
      <c r="E42" s="32">
        <f t="shared" si="23"/>
        <v>873.83561643835606</v>
      </c>
      <c r="F42" s="32">
        <f t="shared" si="23"/>
        <v>269.17808219178085</v>
      </c>
    </row>
    <row r="43" spans="1:12" x14ac:dyDescent="0.25">
      <c r="A43" s="31" t="s">
        <v>39</v>
      </c>
      <c r="B43" s="16">
        <f>B42/(1.1^B32)</f>
        <v>-2100</v>
      </c>
      <c r="C43" s="16">
        <f t="shared" ref="C43:F43" si="24">C42/(1.1^C32)</f>
        <v>590.84682440846814</v>
      </c>
      <c r="D43" s="16">
        <f t="shared" si="24"/>
        <v>824.01222687648578</v>
      </c>
      <c r="E43" s="16">
        <f t="shared" si="24"/>
        <v>656.52563218509079</v>
      </c>
      <c r="F43" s="16">
        <f t="shared" si="24"/>
        <v>183.85225202635118</v>
      </c>
    </row>
    <row r="44" spans="1:12" x14ac:dyDescent="0.25">
      <c r="A44" s="18" t="s">
        <v>0</v>
      </c>
      <c r="B44" s="16">
        <f>SUM(B43:F43)</f>
        <v>155.23693549639589</v>
      </c>
      <c r="C44" s="3"/>
      <c r="D44" s="21"/>
      <c r="E44" s="3"/>
      <c r="F44" s="3"/>
    </row>
    <row r="45" spans="1:12" x14ac:dyDescent="0.25">
      <c r="D45"/>
      <c r="E45"/>
    </row>
    <row r="46" spans="1:12" x14ac:dyDescent="0.25">
      <c r="D46"/>
      <c r="E46"/>
      <c r="K46" s="19"/>
      <c r="L46" s="8"/>
    </row>
    <row r="47" spans="1:12" x14ac:dyDescent="0.25">
      <c r="A47" s="4"/>
      <c r="H47" s="3"/>
    </row>
    <row r="48" spans="1:12" x14ac:dyDescent="0.25">
      <c r="A48" s="1"/>
    </row>
    <row r="49" spans="1:8" x14ac:dyDescent="0.25">
      <c r="A49" s="1"/>
    </row>
    <row r="51" spans="1:8" x14ac:dyDescent="0.25">
      <c r="A51" s="1"/>
    </row>
    <row r="52" spans="1:8" x14ac:dyDescent="0.25">
      <c r="A52" s="3"/>
    </row>
    <row r="53" spans="1:8" x14ac:dyDescent="0.25">
      <c r="A53" s="1"/>
    </row>
    <row r="54" spans="1:8" x14ac:dyDescent="0.25">
      <c r="A54" s="1"/>
    </row>
    <row r="55" spans="1:8" x14ac:dyDescent="0.25">
      <c r="A55" s="1"/>
    </row>
    <row r="56" spans="1:8" x14ac:dyDescent="0.25">
      <c r="A56" s="1"/>
    </row>
    <row r="57" spans="1:8" x14ac:dyDescent="0.25">
      <c r="A57" s="1"/>
    </row>
    <row r="58" spans="1:8" x14ac:dyDescent="0.25">
      <c r="A58" s="1"/>
    </row>
    <row r="64" spans="1:8" x14ac:dyDescent="0.25">
      <c r="G64" s="1"/>
      <c r="H64" s="1"/>
    </row>
    <row r="65" spans="1:8" x14ac:dyDescent="0.25">
      <c r="G65" s="3"/>
      <c r="H65" s="3"/>
    </row>
    <row r="66" spans="1:8" x14ac:dyDescent="0.25">
      <c r="G66" s="1"/>
      <c r="H66" s="1"/>
    </row>
    <row r="67" spans="1:8" x14ac:dyDescent="0.25">
      <c r="G67" s="3"/>
      <c r="H67" s="3"/>
    </row>
    <row r="68" spans="1:8" x14ac:dyDescent="0.25">
      <c r="C68" s="1"/>
      <c r="D68" s="20"/>
      <c r="E68" s="6"/>
      <c r="F68" s="1"/>
    </row>
    <row r="69" spans="1:8" x14ac:dyDescent="0.25">
      <c r="A69" s="2"/>
    </row>
    <row r="71" spans="1:8" x14ac:dyDescent="0.25">
      <c r="C71" s="5"/>
      <c r="D71" s="23"/>
      <c r="E71" s="5"/>
      <c r="F71" s="5"/>
    </row>
    <row r="72" spans="1:8" x14ac:dyDescent="0.25">
      <c r="C72" s="5"/>
      <c r="D72" s="23"/>
      <c r="E72" s="5"/>
      <c r="F72" s="5"/>
    </row>
    <row r="73" spans="1:8" x14ac:dyDescent="0.25">
      <c r="C73" s="5"/>
      <c r="D73" s="23"/>
      <c r="E73" s="5"/>
      <c r="F73" s="5"/>
    </row>
    <row r="75" spans="1:8" x14ac:dyDescent="0.25">
      <c r="C75" s="5"/>
      <c r="D75" s="23"/>
      <c r="E75" s="5"/>
      <c r="F75" s="5"/>
    </row>
    <row r="76" spans="1:8" x14ac:dyDescent="0.25">
      <c r="C76" s="5"/>
      <c r="D76" s="23"/>
      <c r="E76" s="5"/>
      <c r="F76" s="5"/>
    </row>
    <row r="77" spans="1:8" x14ac:dyDescent="0.25">
      <c r="C77" s="5"/>
      <c r="D77" s="23"/>
      <c r="E77" s="5"/>
      <c r="F77" s="5"/>
    </row>
    <row r="80" spans="1:8" x14ac:dyDescent="0.25">
      <c r="C80" s="5"/>
      <c r="D80" s="23"/>
      <c r="E80" s="5"/>
      <c r="F80" s="5"/>
    </row>
    <row r="81" spans="1:6" x14ac:dyDescent="0.25">
      <c r="C81" s="5"/>
      <c r="D81" s="23"/>
      <c r="E81" s="5"/>
      <c r="F81" s="5"/>
    </row>
    <row r="82" spans="1:6" x14ac:dyDescent="0.25">
      <c r="C82" s="5"/>
      <c r="D82" s="23"/>
      <c r="E82" s="5"/>
      <c r="F82" s="5"/>
    </row>
    <row r="84" spans="1:6" x14ac:dyDescent="0.25">
      <c r="C84" s="5"/>
      <c r="D84" s="23"/>
      <c r="E84" s="5"/>
      <c r="F84" s="5"/>
    </row>
    <row r="85" spans="1:6" x14ac:dyDescent="0.25">
      <c r="C85" s="5"/>
      <c r="D85" s="23"/>
      <c r="E85" s="5"/>
      <c r="F85" s="5"/>
    </row>
    <row r="86" spans="1:6" x14ac:dyDescent="0.25">
      <c r="C86" s="5"/>
      <c r="D86" s="23"/>
      <c r="E86" s="5"/>
      <c r="F86" s="5"/>
    </row>
    <row r="88" spans="1:6" x14ac:dyDescent="0.25">
      <c r="A88" s="2"/>
    </row>
    <row r="89" spans="1:6" x14ac:dyDescent="0.25">
      <c r="C89" s="1"/>
      <c r="D89" s="20"/>
      <c r="E89" s="6"/>
      <c r="F89" s="7"/>
    </row>
    <row r="90" spans="1:6" x14ac:dyDescent="0.25">
      <c r="C90" s="1"/>
      <c r="D90" s="20"/>
      <c r="E90" s="6"/>
      <c r="F90" s="7"/>
    </row>
    <row r="94" spans="1:6" x14ac:dyDescent="0.25">
      <c r="A94" s="2"/>
    </row>
    <row r="95" spans="1:6" x14ac:dyDescent="0.25">
      <c r="B95" s="10"/>
    </row>
    <row r="96" spans="1:6" x14ac:dyDescent="0.25">
      <c r="B96" s="10"/>
    </row>
    <row r="98" spans="1:11" x14ac:dyDescent="0.25">
      <c r="A98" s="2"/>
    </row>
    <row r="100" spans="1:11" x14ac:dyDescent="0.25">
      <c r="A100" s="11"/>
      <c r="B100" s="1"/>
      <c r="C100" s="1"/>
      <c r="D100" s="20"/>
      <c r="E100" s="6"/>
      <c r="F100" s="1"/>
      <c r="G100" s="1"/>
    </row>
    <row r="101" spans="1:11" x14ac:dyDescent="0.25">
      <c r="B101" s="1"/>
    </row>
    <row r="102" spans="1:11" x14ac:dyDescent="0.25">
      <c r="A102" s="11"/>
      <c r="B102" s="1"/>
      <c r="C102" s="1"/>
      <c r="D102" s="20"/>
      <c r="E102" s="6"/>
      <c r="F102" s="1"/>
      <c r="G102" s="1"/>
      <c r="H102" s="1"/>
      <c r="I102" s="1"/>
      <c r="J102" s="1"/>
      <c r="K102" s="1"/>
    </row>
    <row r="103" spans="1:11" x14ac:dyDescent="0.25">
      <c r="B103" s="1"/>
      <c r="C103" s="1"/>
      <c r="D103" s="20"/>
      <c r="E103" s="6"/>
      <c r="F103" s="1"/>
      <c r="H103" s="1"/>
      <c r="I103" s="1"/>
      <c r="J103" s="1"/>
      <c r="K103" s="1"/>
    </row>
    <row r="104" spans="1:11" x14ac:dyDescent="0.25">
      <c r="B104" s="1"/>
      <c r="C104" s="1"/>
      <c r="D104" s="20"/>
      <c r="E104" s="6"/>
      <c r="F104" s="1"/>
    </row>
  </sheetData>
  <mergeCells count="8">
    <mergeCell ref="A29:E29"/>
    <mergeCell ref="A30:E30"/>
    <mergeCell ref="D1:F1"/>
    <mergeCell ref="A23:E23"/>
    <mergeCell ref="A24:E24"/>
    <mergeCell ref="A25:E25"/>
    <mergeCell ref="A26:E26"/>
    <mergeCell ref="A28:E2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STAR</vt:lpstr>
      <vt:lpstr>STAR (text)</vt:lpstr>
      <vt:lpstr>STAR (solution)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Giuseppe Marzo</dc:creator>
  <cp:lastModifiedBy>Giuseppe Marzo</cp:lastModifiedBy>
  <cp:lastPrinted>2016-02-22T17:30:26Z</cp:lastPrinted>
  <dcterms:created xsi:type="dcterms:W3CDTF">2012-02-25T15:14:29Z</dcterms:created>
  <dcterms:modified xsi:type="dcterms:W3CDTF">2019-11-21T15:52:01Z</dcterms:modified>
</cp:coreProperties>
</file>