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530" windowHeight="4590" activeTab="0"/>
  </bookViews>
  <sheets>
    <sheet name="NACA 4" sheetId="1" r:id="rId1"/>
    <sheet name="Cp  Cr" sheetId="2" r:id="rId2"/>
    <sheet name="dati" sheetId="3" r:id="rId3"/>
    <sheet name="grafici" sheetId="4" r:id="rId4"/>
    <sheet name="risultati" sheetId="5" r:id="rId5"/>
    <sheet name="Foglio1" sheetId="6" r:id="rId6"/>
  </sheets>
  <definedNames/>
  <calcPr fullCalcOnLoad="1"/>
</workbook>
</file>

<file path=xl/sharedStrings.xml><?xml version="1.0" encoding="utf-8"?>
<sst xmlns="http://schemas.openxmlformats.org/spreadsheetml/2006/main" count="66" uniqueCount="56">
  <si>
    <t>NACA</t>
  </si>
  <si>
    <t>MCh</t>
  </si>
  <si>
    <t>MCl</t>
  </si>
  <si>
    <t>x/c</t>
  </si>
  <si>
    <t>n</t>
  </si>
  <si>
    <t>Ycl</t>
  </si>
  <si>
    <t>Mt</t>
  </si>
  <si>
    <t>Yt dorso</t>
  </si>
  <si>
    <t>Yt ventre</t>
  </si>
  <si>
    <t>corda =</t>
  </si>
  <si>
    <t>Theta</t>
  </si>
  <si>
    <t>Ydorso</t>
  </si>
  <si>
    <t>Yventre</t>
  </si>
  <si>
    <t>Yt</t>
  </si>
  <si>
    <t>Xdorso/ventre</t>
  </si>
  <si>
    <t>DORSO</t>
  </si>
  <si>
    <t>X</t>
  </si>
  <si>
    <t>VENTRE</t>
  </si>
  <si>
    <t>Yv</t>
  </si>
  <si>
    <t>Yd</t>
  </si>
  <si>
    <t>immettere i dati nelle caselle verdi</t>
  </si>
  <si>
    <t>x^2</t>
  </si>
  <si>
    <t>x=y</t>
  </si>
  <si>
    <t>user</t>
  </si>
  <si>
    <t>cos^2</t>
  </si>
  <si>
    <t>Corda</t>
  </si>
  <si>
    <t>N</t>
  </si>
  <si>
    <t>m</t>
  </si>
  <si>
    <t>p</t>
  </si>
  <si>
    <t>PROFILI NACA 4 CIFRE</t>
  </si>
  <si>
    <r>
      <t>S</t>
    </r>
    <r>
      <rPr>
        <b/>
        <sz val="8"/>
        <rFont val="Arial"/>
        <family val="2"/>
      </rPr>
      <t>max</t>
    </r>
  </si>
  <si>
    <r>
      <t>Y</t>
    </r>
    <r>
      <rPr>
        <b/>
        <sz val="8"/>
        <rFont val="Arial"/>
        <family val="2"/>
      </rPr>
      <t>t</t>
    </r>
  </si>
  <si>
    <r>
      <t xml:space="preserve">X </t>
    </r>
    <r>
      <rPr>
        <b/>
        <sz val="8"/>
        <color indexed="17"/>
        <rFont val="Arial"/>
        <family val="2"/>
      </rPr>
      <t>dorso</t>
    </r>
  </si>
  <si>
    <r>
      <t xml:space="preserve">Y </t>
    </r>
    <r>
      <rPr>
        <b/>
        <sz val="8"/>
        <color indexed="17"/>
        <rFont val="Arial"/>
        <family val="2"/>
      </rPr>
      <t>dorso</t>
    </r>
  </si>
  <si>
    <r>
      <t xml:space="preserve">X </t>
    </r>
    <r>
      <rPr>
        <b/>
        <sz val="8"/>
        <color indexed="53"/>
        <rFont val="Arial"/>
        <family val="2"/>
      </rPr>
      <t>ventre</t>
    </r>
  </si>
  <si>
    <r>
      <t xml:space="preserve">Y </t>
    </r>
    <r>
      <rPr>
        <b/>
        <sz val="8"/>
        <color indexed="53"/>
        <rFont val="Arial"/>
        <family val="2"/>
      </rPr>
      <t>ventre</t>
    </r>
  </si>
  <si>
    <r>
      <t>Y</t>
    </r>
    <r>
      <rPr>
        <b/>
        <sz val="8"/>
        <color indexed="14"/>
        <rFont val="Arial"/>
        <family val="2"/>
      </rPr>
      <t>c</t>
    </r>
  </si>
  <si>
    <r>
      <t>N</t>
    </r>
    <r>
      <rPr>
        <sz val="8"/>
        <rFont val="Arial"/>
        <family val="2"/>
      </rPr>
      <t>max</t>
    </r>
    <r>
      <rPr>
        <sz val="10"/>
        <rFont val="Arial"/>
        <family val="0"/>
      </rPr>
      <t xml:space="preserve"> =</t>
    </r>
  </si>
  <si>
    <t>passo</t>
  </si>
  <si>
    <t>cm</t>
  </si>
  <si>
    <t>km/h</t>
  </si>
  <si>
    <t>m/s</t>
  </si>
  <si>
    <t>kg/m³</t>
  </si>
  <si>
    <t>α [°]</t>
  </si>
  <si>
    <t>P [N]</t>
  </si>
  <si>
    <t>R [N]</t>
  </si>
  <si>
    <t>Cp</t>
  </si>
  <si>
    <t>Cr</t>
  </si>
  <si>
    <t>E</t>
  </si>
  <si>
    <t>m²</t>
  </si>
  <si>
    <t>Superfice alare                  S = b * c =</t>
  </si>
  <si>
    <t>Densità                            ρ =</t>
  </si>
  <si>
    <t xml:space="preserve">Velocità                          V = </t>
  </si>
  <si>
    <t xml:space="preserve">Apertura alare                 b = </t>
  </si>
  <si>
    <t xml:space="preserve">Corda                              c = </t>
  </si>
  <si>
    <r>
      <t xml:space="preserve">In una esperienza in galleria aerodinamica, su un modello d’ala a pianta rettangolare, avente apertura  </t>
    </r>
    <r>
      <rPr>
        <b/>
        <sz val="9"/>
        <rFont val="Times New Roman"/>
        <family val="1"/>
      </rPr>
      <t>b</t>
    </r>
    <r>
      <rPr>
        <sz val="9"/>
        <rFont val="Times New Roman"/>
        <family val="1"/>
      </rPr>
      <t xml:space="preserve"> e corda </t>
    </r>
    <r>
      <rPr>
        <b/>
        <sz val="9"/>
        <rFont val="Times New Roman"/>
        <family val="1"/>
      </rPr>
      <t>c</t>
    </r>
    <r>
      <rPr>
        <sz val="9"/>
        <rFont val="Times New Roman"/>
        <family val="1"/>
      </rPr>
      <t xml:space="preserve"> si sono letti, per diversi valori di incidenza geometrica, i seguenti valori di portanza e di resistenza. Tracciare i diagrammi del coefficiente di portanza e del coefficiente di resistenza in funzione dell’incidenza e la polare sapendo che durante l’esperienza la velocità dell’aria nella camera di prova era: </t>
    </r>
    <r>
      <rPr>
        <b/>
        <sz val="9"/>
        <rFont val="Times New Roman"/>
        <family val="1"/>
      </rPr>
      <t>V</t>
    </r>
    <r>
      <rPr>
        <sz val="9"/>
        <rFont val="Times New Roman"/>
        <family val="1"/>
      </rPr>
      <t xml:space="preserve"> = 90 km/h e la densità </t>
    </r>
    <r>
      <rPr>
        <b/>
        <sz val="9"/>
        <rFont val="Times New Roman"/>
        <family val="1"/>
      </rPr>
      <t>ρ</t>
    </r>
    <r>
      <rPr>
        <sz val="9"/>
        <rFont val="Times New Roman"/>
        <family val="1"/>
      </rPr>
      <t xml:space="preserve"> = 1.156 kg/m</t>
    </r>
    <r>
      <rPr>
        <vertAlign val="superscript"/>
        <sz val="9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</si>
</sst>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0"/>
    <numFmt numFmtId="166" formatCode="0.0"/>
    <numFmt numFmtId="167" formatCode="0.0000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7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Arial"/>
      <family val="0"/>
    </font>
    <font>
      <b/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17"/>
      <name val="Arial"/>
      <family val="0"/>
    </font>
    <font>
      <b/>
      <sz val="10"/>
      <color indexed="53"/>
      <name val="Arial"/>
      <family val="2"/>
    </font>
    <font>
      <b/>
      <sz val="8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8"/>
      <color indexed="14"/>
      <name val="Arial"/>
      <family val="2"/>
    </font>
    <font>
      <sz val="10"/>
      <color indexed="14"/>
      <name val="Arial"/>
      <family val="2"/>
    </font>
    <font>
      <b/>
      <sz val="14"/>
      <color indexed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2"/>
    </font>
    <font>
      <sz val="8"/>
      <color indexed="8"/>
      <name val="Arial"/>
      <family val="2"/>
    </font>
    <font>
      <b/>
      <sz val="9.5"/>
      <color indexed="8"/>
      <name val="Arial"/>
      <family val="2"/>
    </font>
    <font>
      <b/>
      <sz val="11.25"/>
      <color indexed="12"/>
      <name val="Arial"/>
      <family val="2"/>
    </font>
    <font>
      <sz val="8.7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sz val="16.75"/>
      <color indexed="8"/>
      <name val="Arial"/>
      <family val="2"/>
    </font>
    <font>
      <sz val="15.75"/>
      <color indexed="8"/>
      <name val="Arial"/>
      <family val="2"/>
    </font>
    <font>
      <sz val="15.4"/>
      <color indexed="8"/>
      <name val="Arial"/>
      <family val="2"/>
    </font>
    <font>
      <sz val="5.75"/>
      <color indexed="8"/>
      <name val="Arial"/>
      <family val="2"/>
    </font>
    <font>
      <b/>
      <sz val="5.75"/>
      <color indexed="8"/>
      <name val="Arial"/>
      <family val="2"/>
    </font>
    <font>
      <sz val="7.35"/>
      <color indexed="8"/>
      <name val="Arial"/>
      <family val="2"/>
    </font>
    <font>
      <sz val="4"/>
      <color indexed="8"/>
      <name val="Arial"/>
      <family val="2"/>
    </font>
    <font>
      <b/>
      <sz val="8.25"/>
      <color indexed="8"/>
      <name val="Arial"/>
      <family val="2"/>
    </font>
    <font>
      <b/>
      <sz val="8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2" applyNumberFormat="0" applyFill="0" applyAlignment="0" applyProtection="0"/>
    <xf numFmtId="0" fontId="62" fillId="21" borderId="3" applyNumberFormat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0" fontId="65" fillId="20" borderId="5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right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4" fillId="34" borderId="14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65" fontId="10" fillId="0" borderId="10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65" fontId="13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65" fontId="16" fillId="0" borderId="10" xfId="0" applyNumberFormat="1" applyFont="1" applyBorder="1" applyAlignment="1">
      <alignment horizontal="center"/>
    </xf>
    <xf numFmtId="0" fontId="5" fillId="35" borderId="1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64" fontId="8" fillId="0" borderId="10" xfId="0" applyNumberFormat="1" applyFont="1" applyBorder="1" applyAlignment="1">
      <alignment/>
    </xf>
    <xf numFmtId="165" fontId="21" fillId="0" borderId="10" xfId="0" applyNumberFormat="1" applyFont="1" applyBorder="1" applyAlignment="1">
      <alignment/>
    </xf>
    <xf numFmtId="165" fontId="22" fillId="0" borderId="10" xfId="0" applyNumberFormat="1" applyFont="1" applyBorder="1" applyAlignment="1">
      <alignment/>
    </xf>
    <xf numFmtId="2" fontId="16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166" fontId="8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7" fillId="0" borderId="0" xfId="0" applyFont="1" applyAlignment="1">
      <alignment horizontal="center"/>
    </xf>
    <xf numFmtId="0" fontId="5" fillId="34" borderId="10" xfId="0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0" fontId="18" fillId="0" borderId="16" xfId="0" applyFont="1" applyBorder="1" applyAlignment="1">
      <alignment horizontal="justify" vertical="top" wrapText="1"/>
    </xf>
    <xf numFmtId="0" fontId="18" fillId="0" borderId="17" xfId="0" applyFont="1" applyBorder="1" applyAlignment="1">
      <alignment horizontal="justify" vertical="top" wrapText="1"/>
    </xf>
    <xf numFmtId="0" fontId="18" fillId="0" borderId="18" xfId="0" applyFont="1" applyBorder="1" applyAlignment="1">
      <alignment horizontal="justify" vertical="top" wrapText="1"/>
    </xf>
    <xf numFmtId="0" fontId="18" fillId="0" borderId="19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8" fillId="0" borderId="20" xfId="0" applyFont="1" applyBorder="1" applyAlignment="1">
      <alignment horizontal="justify" vertical="top" wrapText="1"/>
    </xf>
    <xf numFmtId="0" fontId="18" fillId="0" borderId="21" xfId="0" applyFont="1" applyBorder="1" applyAlignment="1">
      <alignment horizontal="justify" vertical="top" wrapText="1"/>
    </xf>
    <xf numFmtId="0" fontId="18" fillId="0" borderId="22" xfId="0" applyFont="1" applyBorder="1" applyAlignment="1">
      <alignment horizontal="justify" vertical="top" wrapText="1"/>
    </xf>
    <xf numFmtId="0" fontId="18" fillId="0" borderId="23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Profilo NACA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25275"/>
          <c:w val="0.92725"/>
          <c:h val="0.636"/>
        </c:manualLayout>
      </c:layout>
      <c:scatterChart>
        <c:scatterStyle val="smoothMarker"/>
        <c:varyColors val="0"/>
        <c:ser>
          <c:idx val="0"/>
          <c:order val="0"/>
          <c:tx>
            <c:v>Dorso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'NACA 4'!$J$22:$J$62</c:f>
              <c:numCache/>
            </c:numRef>
          </c:xVal>
          <c:yVal>
            <c:numRef>
              <c:f>'NACA 4'!$K$22:$K$62</c:f>
              <c:numCache/>
            </c:numRef>
          </c:yVal>
          <c:smooth val="1"/>
        </c:ser>
        <c:ser>
          <c:idx val="1"/>
          <c:order val="1"/>
          <c:tx>
            <c:v>Linea media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'NACA 4'!$B$22:$B$62</c:f>
              <c:numCache/>
            </c:numRef>
          </c:xVal>
          <c:yVal>
            <c:numRef>
              <c:f>'NACA 4'!$F$22:$F$62</c:f>
              <c:numCache/>
            </c:numRef>
          </c:yVal>
          <c:smooth val="1"/>
        </c:ser>
        <c:ser>
          <c:idx val="2"/>
          <c:order val="2"/>
          <c:tx>
            <c:v>Ventre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'NACA 4'!$M$22:$M$62</c:f>
              <c:numCache/>
            </c:numRef>
          </c:xVal>
          <c:yVal>
            <c:numRef>
              <c:f>'NACA 4'!$N$22:$N$62</c:f>
              <c:numCache/>
            </c:numRef>
          </c:yVal>
          <c:smooth val="1"/>
        </c:ser>
        <c:ser>
          <c:idx val="3"/>
          <c:order val="3"/>
          <c:tx>
            <c:strRef>
              <c:f>'NACA 4'!$C$7:$F$7</c:f>
              <c:strCache>
                <c:ptCount val="1"/>
                <c:pt idx="0">
                  <c:v>2 4 1 2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yVal>
            <c:numLit>
              <c:ptCount val="1"/>
              <c:pt idx="0">
                <c:v>1</c:v>
              </c:pt>
            </c:numLit>
          </c:yVal>
          <c:smooth val="1"/>
        </c:ser>
        <c:axId val="2984917"/>
        <c:axId val="26864254"/>
      </c:scatterChart>
      <c:valAx>
        <c:axId val="2984917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412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64254"/>
        <c:crosses val="autoZero"/>
        <c:crossBetween val="midCat"/>
        <c:dispUnits/>
        <c:majorUnit val="0.1"/>
      </c:valAx>
      <c:valAx>
        <c:axId val="26864254"/>
        <c:scaling>
          <c:orientation val="minMax"/>
          <c:max val="0.25"/>
          <c:min val="-0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125"/>
              <c:y val="0.16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4917"/>
        <c:crosses val="autoZero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765"/>
          <c:y val="0.13825"/>
          <c:w val="0.73075"/>
          <c:h val="0.0757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USA NACA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2"/>
          <c:w val="0.967"/>
          <c:h val="0.73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dati!$R$11</c:f>
              <c:strCache>
                <c:ptCount val="1"/>
                <c:pt idx="0">
                  <c:v>Ydorso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dati!$Q$12:$Q$32</c:f>
              <c:numCache>
                <c:ptCount val="21"/>
                <c:pt idx="0">
                  <c:v>0</c:v>
                </c:pt>
                <c:pt idx="1">
                  <c:v>0.0016348468186617726</c:v>
                </c:pt>
                <c:pt idx="2">
                  <c:v>0.008340855647975765</c:v>
                </c:pt>
                <c:pt idx="3">
                  <c:v>0.020151248191617902</c:v>
                </c:pt>
                <c:pt idx="4">
                  <c:v>0.037097986533190734</c:v>
                </c:pt>
                <c:pt idx="5">
                  <c:v>0.059210052488411484</c:v>
                </c:pt>
                <c:pt idx="6">
                  <c:v>0.08651127574549278</c:v>
                </c:pt>
                <c:pt idx="7">
                  <c:v>0.11901793333277601</c:v>
                </c:pt>
                <c:pt idx="8">
                  <c:v>0.15673637580523433</c:v>
                </c:pt>
                <c:pt idx="9">
                  <c:v>0.19966094470374815</c:v>
                </c:pt>
                <c:pt idx="10">
                  <c:v>0.24777242571107155</c:v>
                </c:pt>
                <c:pt idx="11">
                  <c:v>0.30103722678612377</c:v>
                </c:pt>
                <c:pt idx="12">
                  <c:v>0.35940737462441086</c:v>
                </c:pt>
                <c:pt idx="13">
                  <c:v>0.4228212803296705</c:v>
                </c:pt>
                <c:pt idx="14">
                  <c:v>0.49120503064531457</c:v>
                </c:pt>
                <c:pt idx="15">
                  <c:v>0.564473709337451</c:v>
                </c:pt>
                <c:pt idx="16">
                  <c:v>0.6425319398618659</c:v>
                </c:pt>
                <c:pt idx="17">
                  <c:v>0.7252724617940117</c:v>
                </c:pt>
                <c:pt idx="18">
                  <c:v>0.8125711075378038</c:v>
                </c:pt>
                <c:pt idx="19">
                  <c:v>0.9042760322482616</c:v>
                </c:pt>
                <c:pt idx="20">
                  <c:v>1.000188470669569</c:v>
                </c:pt>
              </c:numCache>
            </c:numRef>
          </c:xVal>
          <c:yVal>
            <c:numRef>
              <c:f>dati!$R$12:$R$32</c:f>
              <c:numCache>
                <c:ptCount val="21"/>
                <c:pt idx="0">
                  <c:v>0</c:v>
                </c:pt>
                <c:pt idx="1">
                  <c:v>0.01766110667630396</c:v>
                </c:pt>
                <c:pt idx="2">
                  <c:v>0.035021230297933095</c:v>
                </c:pt>
                <c:pt idx="3">
                  <c:v>0.05196159151041533</c:v>
                </c:pt>
                <c:pt idx="4">
                  <c:v>0.06828918815131728</c:v>
                </c:pt>
                <c:pt idx="5">
                  <c:v>0.08374565976543155</c:v>
                </c:pt>
                <c:pt idx="6">
                  <c:v>0.09801909366470242</c:v>
                </c:pt>
                <c:pt idx="7">
                  <c:v>0.11075812266997055</c:v>
                </c:pt>
                <c:pt idx="8">
                  <c:v>0.12158747315885629</c:v>
                </c:pt>
                <c:pt idx="9">
                  <c:v>0.13012392695260713</c:v>
                </c:pt>
                <c:pt idx="10">
                  <c:v>0.13599146207618337</c:v>
                </c:pt>
                <c:pt idx="11">
                  <c:v>0.13883413629882277</c:v>
                </c:pt>
                <c:pt idx="12">
                  <c:v>0.1383250751178207</c:v>
                </c:pt>
                <c:pt idx="13">
                  <c:v>0.13420488110504702</c:v>
                </c:pt>
                <c:pt idx="14">
                  <c:v>0.1266638351390761</c:v>
                </c:pt>
                <c:pt idx="15">
                  <c:v>0.11570021503177345</c:v>
                </c:pt>
                <c:pt idx="16">
                  <c:v>0.10119799539552576</c:v>
                </c:pt>
                <c:pt idx="17">
                  <c:v>0.08299612105300533</c:v>
                </c:pt>
                <c:pt idx="18">
                  <c:v>0.06082906306825712</c:v>
                </c:pt>
                <c:pt idx="19">
                  <c:v>0.03424701527083191</c:v>
                </c:pt>
                <c:pt idx="20">
                  <c:v>0.0025129422609188657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dati!$S$11</c:f>
              <c:strCache>
                <c:ptCount val="1"/>
                <c:pt idx="0">
                  <c:v>Yventre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dati!$Q$12:$Q$32</c:f>
              <c:numCache>
                <c:ptCount val="21"/>
                <c:pt idx="0">
                  <c:v>0</c:v>
                </c:pt>
                <c:pt idx="1">
                  <c:v>0.0016348468186617726</c:v>
                </c:pt>
                <c:pt idx="2">
                  <c:v>0.008340855647975765</c:v>
                </c:pt>
                <c:pt idx="3">
                  <c:v>0.020151248191617902</c:v>
                </c:pt>
                <c:pt idx="4">
                  <c:v>0.037097986533190734</c:v>
                </c:pt>
                <c:pt idx="5">
                  <c:v>0.059210052488411484</c:v>
                </c:pt>
                <c:pt idx="6">
                  <c:v>0.08651127574549278</c:v>
                </c:pt>
                <c:pt idx="7">
                  <c:v>0.11901793333277601</c:v>
                </c:pt>
                <c:pt idx="8">
                  <c:v>0.15673637580523433</c:v>
                </c:pt>
                <c:pt idx="9">
                  <c:v>0.19966094470374815</c:v>
                </c:pt>
                <c:pt idx="10">
                  <c:v>0.24777242571107155</c:v>
                </c:pt>
                <c:pt idx="11">
                  <c:v>0.30103722678612377</c:v>
                </c:pt>
                <c:pt idx="12">
                  <c:v>0.35940737462441086</c:v>
                </c:pt>
                <c:pt idx="13">
                  <c:v>0.4228212803296705</c:v>
                </c:pt>
                <c:pt idx="14">
                  <c:v>0.49120503064531457</c:v>
                </c:pt>
                <c:pt idx="15">
                  <c:v>0.564473709337451</c:v>
                </c:pt>
                <c:pt idx="16">
                  <c:v>0.6425319398618659</c:v>
                </c:pt>
                <c:pt idx="17">
                  <c:v>0.7252724617940117</c:v>
                </c:pt>
                <c:pt idx="18">
                  <c:v>0.8125711075378038</c:v>
                </c:pt>
                <c:pt idx="19">
                  <c:v>0.9042760322482616</c:v>
                </c:pt>
                <c:pt idx="20">
                  <c:v>1.000188470669569</c:v>
                </c:pt>
              </c:numCache>
            </c:numRef>
          </c:xVal>
          <c:yVal>
            <c:numRef>
              <c:f>dati!$S$12:$S$32</c:f>
              <c:numCache>
                <c:ptCount val="21"/>
                <c:pt idx="0">
                  <c:v>0</c:v>
                </c:pt>
                <c:pt idx="1">
                  <c:v>-0.017162669176303963</c:v>
                </c:pt>
                <c:pt idx="2">
                  <c:v>-0.03304623029793309</c:v>
                </c:pt>
                <c:pt idx="3">
                  <c:v>-0.047588154010415336</c:v>
                </c:pt>
                <c:pt idx="4">
                  <c:v>-0.06068918815131728</c:v>
                </c:pt>
                <c:pt idx="5">
                  <c:v>-0.07222222226543154</c:v>
                </c:pt>
                <c:pt idx="6">
                  <c:v>-0.08204409366470243</c:v>
                </c:pt>
                <c:pt idx="7">
                  <c:v>-0.09000968516997056</c:v>
                </c:pt>
                <c:pt idx="8">
                  <c:v>-0.0959874731588563</c:v>
                </c:pt>
                <c:pt idx="9">
                  <c:v>-0.09987548945260713</c:v>
                </c:pt>
                <c:pt idx="10">
                  <c:v>-0.10161646207618337</c:v>
                </c:pt>
                <c:pt idx="11">
                  <c:v>-0.10121069879882276</c:v>
                </c:pt>
                <c:pt idx="12">
                  <c:v>-0.09872507511782071</c:v>
                </c:pt>
                <c:pt idx="13">
                  <c:v>-0.09426113110504702</c:v>
                </c:pt>
                <c:pt idx="14">
                  <c:v>-0.0875638351390761</c:v>
                </c:pt>
                <c:pt idx="15">
                  <c:v>-0.07863424280955124</c:v>
                </c:pt>
                <c:pt idx="16">
                  <c:v>-0.06759799539552577</c:v>
                </c:pt>
                <c:pt idx="17">
                  <c:v>-0.05455237105300532</c:v>
                </c:pt>
                <c:pt idx="18">
                  <c:v>-0.0395068408460349</c:v>
                </c:pt>
                <c:pt idx="19">
                  <c:v>-0.02230326527083192</c:v>
                </c:pt>
                <c:pt idx="20">
                  <c:v>-0.0025129422609188657</c:v>
                </c:pt>
              </c:numCache>
            </c:numRef>
          </c:yVal>
          <c:smooth val="1"/>
        </c:ser>
        <c:ser>
          <c:idx val="2"/>
          <c:order val="2"/>
          <c:tx>
            <c:v>camber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dati!$H$12:$H$32</c:f>
              <c:numCache>
                <c:ptCount val="21"/>
                <c:pt idx="0">
                  <c:v>0</c:v>
                </c:pt>
                <c:pt idx="1">
                  <c:v>0.0025000000000000005</c:v>
                </c:pt>
                <c:pt idx="2">
                  <c:v>0.010000000000000002</c:v>
                </c:pt>
                <c:pt idx="3">
                  <c:v>0.0225</c:v>
                </c:pt>
                <c:pt idx="4">
                  <c:v>0.04000000000000001</c:v>
                </c:pt>
                <c:pt idx="5">
                  <c:v>0.0625</c:v>
                </c:pt>
                <c:pt idx="6">
                  <c:v>0.09</c:v>
                </c:pt>
                <c:pt idx="7">
                  <c:v>0.12249999999999998</c:v>
                </c:pt>
                <c:pt idx="8">
                  <c:v>0.16000000000000003</c:v>
                </c:pt>
                <c:pt idx="9">
                  <c:v>0.2025</c:v>
                </c:pt>
                <c:pt idx="10">
                  <c:v>0.25</c:v>
                </c:pt>
                <c:pt idx="11">
                  <c:v>0.30250000000000005</c:v>
                </c:pt>
                <c:pt idx="12">
                  <c:v>0.36</c:v>
                </c:pt>
                <c:pt idx="13">
                  <c:v>0.42250000000000004</c:v>
                </c:pt>
                <c:pt idx="14">
                  <c:v>0.48999999999999994</c:v>
                </c:pt>
                <c:pt idx="15">
                  <c:v>0.5625</c:v>
                </c:pt>
                <c:pt idx="16">
                  <c:v>0.6400000000000001</c:v>
                </c:pt>
                <c:pt idx="17">
                  <c:v>0.7224999999999999</c:v>
                </c:pt>
                <c:pt idx="18">
                  <c:v>0.81</c:v>
                </c:pt>
                <c:pt idx="19">
                  <c:v>0.9025</c:v>
                </c:pt>
                <c:pt idx="20">
                  <c:v>1</c:v>
                </c:pt>
              </c:numCache>
            </c:numRef>
          </c:xVal>
          <c:yVal>
            <c:numRef>
              <c:f>dati!$J$12:$J$32</c:f>
              <c:numCache>
                <c:ptCount val="21"/>
                <c:pt idx="0">
                  <c:v>0</c:v>
                </c:pt>
                <c:pt idx="1">
                  <c:v>0.00024921875</c:v>
                </c:pt>
                <c:pt idx="2">
                  <c:v>0.0009875</c:v>
                </c:pt>
                <c:pt idx="3">
                  <c:v>0.0021867187499999994</c:v>
                </c:pt>
                <c:pt idx="4">
                  <c:v>0.0038</c:v>
                </c:pt>
                <c:pt idx="5">
                  <c:v>0.0057617187499999995</c:v>
                </c:pt>
                <c:pt idx="6">
                  <c:v>0.007987499999999998</c:v>
                </c:pt>
                <c:pt idx="7">
                  <c:v>0.010374218749999997</c:v>
                </c:pt>
                <c:pt idx="8">
                  <c:v>0.012799999999999999</c:v>
                </c:pt>
                <c:pt idx="9">
                  <c:v>0.01512421875</c:v>
                </c:pt>
                <c:pt idx="10">
                  <c:v>0.017187499999999998</c:v>
                </c:pt>
                <c:pt idx="11">
                  <c:v>0.01881171875</c:v>
                </c:pt>
                <c:pt idx="12">
                  <c:v>0.019799999999999995</c:v>
                </c:pt>
                <c:pt idx="13">
                  <c:v>0.019971875</c:v>
                </c:pt>
                <c:pt idx="14">
                  <c:v>0.019549999999999998</c:v>
                </c:pt>
                <c:pt idx="15">
                  <c:v>0.018532986111111108</c:v>
                </c:pt>
                <c:pt idx="16">
                  <c:v>0.016799999999999995</c:v>
                </c:pt>
                <c:pt idx="17">
                  <c:v>0.014221875000000002</c:v>
                </c:pt>
                <c:pt idx="18">
                  <c:v>0.010661111111111109</c:v>
                </c:pt>
                <c:pt idx="19">
                  <c:v>0.005971874999999997</c:v>
                </c:pt>
                <c:pt idx="20">
                  <c:v>0</c:v>
                </c:pt>
              </c:numCache>
            </c:numRef>
          </c:yVal>
          <c:smooth val="1"/>
        </c:ser>
        <c:axId val="57483199"/>
        <c:axId val="47586744"/>
      </c:scatterChart>
      <c:valAx>
        <c:axId val="57483199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7586744"/>
        <c:crosses val="autoZero"/>
        <c:crossBetween val="midCat"/>
        <c:dispUnits/>
      </c:valAx>
      <c:valAx>
        <c:axId val="47586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831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5"/>
          <c:y val="0.0065"/>
          <c:w val="0.123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Polare di Prandtl</a:t>
            </a:r>
          </a:p>
        </c:rich>
      </c:tx>
      <c:layout>
        <c:manualLayout>
          <c:xMode val="factor"/>
          <c:yMode val="factor"/>
          <c:x val="-0.00325"/>
          <c:y val="0.04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25"/>
          <c:y val="0.2125"/>
          <c:w val="0.85925"/>
          <c:h val="0.69425"/>
        </c:manualLayout>
      </c:layout>
      <c:scatterChart>
        <c:scatterStyle val="smoothMarker"/>
        <c:varyColors val="0"/>
        <c:ser>
          <c:idx val="0"/>
          <c:order val="0"/>
          <c:tx>
            <c:v>Curva di Prandl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'Cp  Cr'!$K$2:$K$11</c:f>
              <c:numCache/>
            </c:numRef>
          </c:xVal>
          <c:yVal>
            <c:numRef>
              <c:f>'Cp  Cr'!$J$2:$J$11</c:f>
              <c:numCache/>
            </c:numRef>
          </c:yVal>
          <c:smooth val="1"/>
        </c:ser>
        <c:axId val="40451695"/>
        <c:axId val="28520936"/>
      </c:scatterChart>
      <c:valAx>
        <c:axId val="40451695"/>
        <c:scaling>
          <c:orientation val="minMax"/>
          <c:max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Cr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8520936"/>
        <c:crosses val="autoZero"/>
        <c:crossBetween val="midCat"/>
        <c:dispUnits/>
        <c:majorUnit val="0.04"/>
      </c:valAx>
      <c:valAx>
        <c:axId val="28520936"/>
        <c:scaling>
          <c:orientation val="minMax"/>
          <c:max val="1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</a:t>
                </a:r>
              </a:p>
            </c:rich>
          </c:tx>
          <c:layout>
            <c:manualLayout>
              <c:xMode val="factor"/>
              <c:yMode val="factor"/>
              <c:x val="0.033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0451695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Coefficiente di portanza con   l'incidenza</a:t>
            </a:r>
          </a:p>
        </c:rich>
      </c:tx>
      <c:layout>
        <c:manualLayout>
          <c:xMode val="factor"/>
          <c:yMode val="factor"/>
          <c:x val="0.02025"/>
          <c:y val="0.03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75"/>
          <c:y val="0.21175"/>
          <c:w val="0.85875"/>
          <c:h val="0.69425"/>
        </c:manualLayout>
      </c:layout>
      <c:scatterChart>
        <c:scatterStyle val="smoothMarker"/>
        <c:varyColors val="0"/>
        <c:ser>
          <c:idx val="0"/>
          <c:order val="0"/>
          <c:tx>
            <c:v>Cp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'Cp  Cr'!$G$2:$G$11</c:f>
              <c:numCache/>
            </c:numRef>
          </c:xVal>
          <c:yVal>
            <c:numRef>
              <c:f>'Cp  Cr'!$J$2:$J$11</c:f>
              <c:numCache/>
            </c:numRef>
          </c:yVal>
          <c:smooth val="1"/>
        </c:ser>
        <c:axId val="55361833"/>
        <c:axId val="28494450"/>
      </c:scatterChart>
      <c:valAx>
        <c:axId val="55361833"/>
        <c:scaling>
          <c:orientation val="minMax"/>
          <c:max val="16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Alfa [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8494450"/>
        <c:crosses val="autoZero"/>
        <c:crossBetween val="midCat"/>
        <c:dispUnits/>
        <c:majorUnit val="2"/>
      </c:valAx>
      <c:valAx>
        <c:axId val="28494450"/>
        <c:scaling>
          <c:orientation val="minMax"/>
          <c:max val="1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</a:t>
                </a:r>
              </a:p>
            </c:rich>
          </c:tx>
          <c:layout>
            <c:manualLayout>
              <c:xMode val="factor"/>
              <c:yMode val="factor"/>
              <c:x val="0.061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536183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Coefficiente di resistenza con l'incidenza                       </a:t>
            </a:r>
          </a:p>
        </c:rich>
      </c:tx>
      <c:layout>
        <c:manualLayout>
          <c:xMode val="factor"/>
          <c:yMode val="factor"/>
          <c:x val="0"/>
          <c:y val="0.04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21025"/>
          <c:w val="0.87075"/>
          <c:h val="0.69625"/>
        </c:manualLayout>
      </c:layout>
      <c:scatterChart>
        <c:scatterStyle val="smoothMarker"/>
        <c:varyColors val="0"/>
        <c:ser>
          <c:idx val="0"/>
          <c:order val="0"/>
          <c:tx>
            <c:v>Cr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'Cp  Cr'!$G$2:$G$11</c:f>
              <c:numCache/>
            </c:numRef>
          </c:xVal>
          <c:yVal>
            <c:numRef>
              <c:f>'Cp  Cr'!$K$2:$K$11</c:f>
              <c:numCache/>
            </c:numRef>
          </c:yVal>
          <c:smooth val="1"/>
        </c:ser>
        <c:axId val="55123459"/>
        <c:axId val="26349084"/>
      </c:scatterChart>
      <c:valAx>
        <c:axId val="55123459"/>
        <c:scaling>
          <c:orientation val="minMax"/>
          <c:max val="16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Alfa [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6349084"/>
        <c:crosses val="autoZero"/>
        <c:crossBetween val="midCat"/>
        <c:dispUnits/>
        <c:majorUnit val="2"/>
      </c:valAx>
      <c:valAx>
        <c:axId val="26349084"/>
        <c:scaling>
          <c:orientation val="minMax"/>
          <c:max val="0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Cr</a:t>
                </a:r>
              </a:p>
            </c:rich>
          </c:tx>
          <c:layout>
            <c:manualLayout>
              <c:xMode val="factor"/>
              <c:yMode val="factor"/>
              <c:x val="0.052"/>
              <c:y val="0.14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5123459"/>
        <c:crosses val="autoZero"/>
        <c:crossBetween val="midCat"/>
        <c:dispUnits/>
        <c:majorUnit val="0.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875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dati!$D$11</c:f>
              <c:strCache>
                <c:ptCount val="1"/>
                <c:pt idx="0">
                  <c:v>x=y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dati!$G$12:$G$32</c:f>
              <c:numCache/>
            </c:numRef>
          </c:xVal>
          <c:yVal>
            <c:numRef>
              <c:f>dati!$D$12:$D$32</c:f>
              <c:numCache/>
            </c:numRef>
          </c:yVal>
          <c:smooth val="1"/>
        </c:ser>
        <c:ser>
          <c:idx val="1"/>
          <c:order val="1"/>
          <c:tx>
            <c:strRef>
              <c:f>dati!$C$11</c:f>
              <c:strCache>
                <c:ptCount val="1"/>
                <c:pt idx="0">
                  <c:v>x^2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dati!$G$12:$G$32</c:f>
              <c:numCache/>
            </c:numRef>
          </c:xVal>
          <c:yVal>
            <c:numRef>
              <c:f>dati!$C$12:$C$32</c:f>
              <c:numCache/>
            </c:numRef>
          </c:yVal>
          <c:smooth val="1"/>
        </c:ser>
        <c:ser>
          <c:idx val="2"/>
          <c:order val="2"/>
          <c:tx>
            <c:strRef>
              <c:f>dati!$E$11</c:f>
              <c:strCache>
                <c:ptCount val="1"/>
                <c:pt idx="0">
                  <c:v>cos^2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dati!$G$12:$G$32</c:f>
              <c:numCache/>
            </c:numRef>
          </c:xVal>
          <c:yVal>
            <c:numRef>
              <c:f>dati!$E$12:$E$32</c:f>
              <c:numCache/>
            </c:numRef>
          </c:yVal>
          <c:smooth val="1"/>
        </c:ser>
        <c:ser>
          <c:idx val="3"/>
          <c:order val="3"/>
          <c:tx>
            <c:strRef>
              <c:f>dati!$B$11</c:f>
              <c:strCache>
                <c:ptCount val="1"/>
                <c:pt idx="0">
                  <c:v>user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dati!$G$12:$G$32</c:f>
              <c:numCache/>
            </c:numRef>
          </c:xVal>
          <c:yVal>
            <c:numRef>
              <c:f>dati!$B$12:$B$32</c:f>
              <c:numCache/>
            </c:numRef>
          </c:yVal>
          <c:smooth val="1"/>
        </c:ser>
        <c:axId val="35815165"/>
        <c:axId val="53901030"/>
      </c:scatterChart>
      <c:valAx>
        <c:axId val="35815165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01030"/>
        <c:crosses val="autoZero"/>
        <c:crossBetween val="midCat"/>
        <c:dispUnits/>
      </c:valAx>
      <c:valAx>
        <c:axId val="5390103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151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075"/>
          <c:y val="0.1005"/>
          <c:w val="0.12975"/>
          <c:h val="0.2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USA NACA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2075"/>
          <c:w val="0.96675"/>
          <c:h val="0.72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dati!$R$11</c:f>
              <c:strCache>
                <c:ptCount val="1"/>
                <c:pt idx="0">
                  <c:v>Ydorso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dati!$Q$12:$Q$32</c:f>
              <c:numCache/>
            </c:numRef>
          </c:xVal>
          <c:yVal>
            <c:numRef>
              <c:f>dati!$R$12:$R$32</c:f>
              <c:numCache/>
            </c:numRef>
          </c:yVal>
          <c:smooth val="1"/>
        </c:ser>
        <c:ser>
          <c:idx val="1"/>
          <c:order val="1"/>
          <c:tx>
            <c:strRef>
              <c:f>dati!$S$11</c:f>
              <c:strCache>
                <c:ptCount val="1"/>
                <c:pt idx="0">
                  <c:v>Yventre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dati!$Q$12:$Q$32</c:f>
              <c:numCache/>
            </c:numRef>
          </c:xVal>
          <c:yVal>
            <c:numRef>
              <c:f>dati!$S$12:$S$32</c:f>
              <c:numCache/>
            </c:numRef>
          </c:yVal>
          <c:smooth val="1"/>
        </c:ser>
        <c:ser>
          <c:idx val="2"/>
          <c:order val="2"/>
          <c:tx>
            <c:v>camber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dati!$H$12:$H$32</c:f>
              <c:numCache/>
            </c:numRef>
          </c:xVal>
          <c:yVal>
            <c:numRef>
              <c:f>dati!$J$12:$J$32</c:f>
              <c:numCache/>
            </c:numRef>
          </c:yVal>
          <c:smooth val="1"/>
        </c:ser>
        <c:axId val="15347223"/>
        <c:axId val="3907280"/>
      </c:scatterChart>
      <c:valAx>
        <c:axId val="15347223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907280"/>
        <c:crosses val="autoZero"/>
        <c:crossBetween val="midCat"/>
        <c:dispUnits/>
      </c:valAx>
      <c:valAx>
        <c:axId val="3907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472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065"/>
          <c:w val="0.1245"/>
          <c:h val="0.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Camber line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21475"/>
          <c:w val="0.95775"/>
          <c:h val="0.7102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dati!$E$3:$H$3</c:f>
              <c:strCache>
                <c:ptCount val="1"/>
                <c:pt idx="0">
                  <c:v>NACA 2 4 24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dati!$H$12:$H$32</c:f>
              <c:numCache>
                <c:ptCount val="21"/>
                <c:pt idx="0">
                  <c:v>0</c:v>
                </c:pt>
                <c:pt idx="1">
                  <c:v>0.0025000000000000005</c:v>
                </c:pt>
                <c:pt idx="2">
                  <c:v>0.010000000000000002</c:v>
                </c:pt>
                <c:pt idx="3">
                  <c:v>0.0225</c:v>
                </c:pt>
                <c:pt idx="4">
                  <c:v>0.04000000000000001</c:v>
                </c:pt>
                <c:pt idx="5">
                  <c:v>0.0625</c:v>
                </c:pt>
                <c:pt idx="6">
                  <c:v>0.09</c:v>
                </c:pt>
                <c:pt idx="7">
                  <c:v>0.12249999999999998</c:v>
                </c:pt>
                <c:pt idx="8">
                  <c:v>0.16000000000000003</c:v>
                </c:pt>
                <c:pt idx="9">
                  <c:v>0.2025</c:v>
                </c:pt>
                <c:pt idx="10">
                  <c:v>0.25</c:v>
                </c:pt>
                <c:pt idx="11">
                  <c:v>0.30250000000000005</c:v>
                </c:pt>
                <c:pt idx="12">
                  <c:v>0.36</c:v>
                </c:pt>
                <c:pt idx="13">
                  <c:v>0.42250000000000004</c:v>
                </c:pt>
                <c:pt idx="14">
                  <c:v>0.48999999999999994</c:v>
                </c:pt>
                <c:pt idx="15">
                  <c:v>0.5625</c:v>
                </c:pt>
                <c:pt idx="16">
                  <c:v>0.6400000000000001</c:v>
                </c:pt>
                <c:pt idx="17">
                  <c:v>0.7224999999999999</c:v>
                </c:pt>
                <c:pt idx="18">
                  <c:v>0.81</c:v>
                </c:pt>
                <c:pt idx="19">
                  <c:v>0.9025</c:v>
                </c:pt>
                <c:pt idx="20">
                  <c:v>1</c:v>
                </c:pt>
              </c:numCache>
            </c:numRef>
          </c:xVal>
          <c:yVal>
            <c:numRef>
              <c:f>dati!$J$12:$J$32</c:f>
              <c:numCache>
                <c:ptCount val="21"/>
                <c:pt idx="0">
                  <c:v>0</c:v>
                </c:pt>
                <c:pt idx="1">
                  <c:v>0.00024921875</c:v>
                </c:pt>
                <c:pt idx="2">
                  <c:v>0.0009875</c:v>
                </c:pt>
                <c:pt idx="3">
                  <c:v>0.0021867187499999994</c:v>
                </c:pt>
                <c:pt idx="4">
                  <c:v>0.0038</c:v>
                </c:pt>
                <c:pt idx="5">
                  <c:v>0.0057617187499999995</c:v>
                </c:pt>
                <c:pt idx="6">
                  <c:v>0.007987499999999998</c:v>
                </c:pt>
                <c:pt idx="7">
                  <c:v>0.010374218749999997</c:v>
                </c:pt>
                <c:pt idx="8">
                  <c:v>0.012799999999999999</c:v>
                </c:pt>
                <c:pt idx="9">
                  <c:v>0.01512421875</c:v>
                </c:pt>
                <c:pt idx="10">
                  <c:v>0.017187499999999998</c:v>
                </c:pt>
                <c:pt idx="11">
                  <c:v>0.01881171875</c:v>
                </c:pt>
                <c:pt idx="12">
                  <c:v>0.019799999999999995</c:v>
                </c:pt>
                <c:pt idx="13">
                  <c:v>0.019971875</c:v>
                </c:pt>
                <c:pt idx="14">
                  <c:v>0.019549999999999998</c:v>
                </c:pt>
                <c:pt idx="15">
                  <c:v>0.018532986111111108</c:v>
                </c:pt>
                <c:pt idx="16">
                  <c:v>0.016799999999999995</c:v>
                </c:pt>
                <c:pt idx="17">
                  <c:v>0.014221875000000002</c:v>
                </c:pt>
                <c:pt idx="18">
                  <c:v>0.010661111111111109</c:v>
                </c:pt>
                <c:pt idx="19">
                  <c:v>0.005971874999999997</c:v>
                </c:pt>
                <c:pt idx="20">
                  <c:v>0</c:v>
                </c:pt>
              </c:numCache>
            </c:numRef>
          </c:yVal>
          <c:smooth val="1"/>
        </c:ser>
        <c:axId val="35165521"/>
        <c:axId val="48054234"/>
      </c:scatterChart>
      <c:valAx>
        <c:axId val="35165521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x/c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54234"/>
        <c:crosses val="autoZero"/>
        <c:crossBetween val="midCat"/>
        <c:dispUnits/>
      </c:valAx>
      <c:valAx>
        <c:axId val="48054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Ycl</a:t>
                </a:r>
              </a:p>
            </c:rich>
          </c:tx>
          <c:layout>
            <c:manualLayout>
              <c:xMode val="factor"/>
              <c:yMode val="factor"/>
              <c:x val="0.00925"/>
              <c:y val="0.2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655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1635"/>
          <c:w val="0.1625"/>
          <c:h val="0.1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spessori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33"/>
          <c:w val="0.948"/>
          <c:h val="0.67525"/>
        </c:manualLayout>
      </c:layout>
      <c:scatterChart>
        <c:scatterStyle val="smoothMarker"/>
        <c:varyColors val="0"/>
        <c:ser>
          <c:idx val="0"/>
          <c:order val="0"/>
          <c:tx>
            <c:v>dorso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dati!$H$12:$H$32</c:f>
              <c:numCache>
                <c:ptCount val="21"/>
                <c:pt idx="0">
                  <c:v>0</c:v>
                </c:pt>
                <c:pt idx="1">
                  <c:v>0.0025000000000000005</c:v>
                </c:pt>
                <c:pt idx="2">
                  <c:v>0.010000000000000002</c:v>
                </c:pt>
                <c:pt idx="3">
                  <c:v>0.0225</c:v>
                </c:pt>
                <c:pt idx="4">
                  <c:v>0.04000000000000001</c:v>
                </c:pt>
                <c:pt idx="5">
                  <c:v>0.0625</c:v>
                </c:pt>
                <c:pt idx="6">
                  <c:v>0.09</c:v>
                </c:pt>
                <c:pt idx="7">
                  <c:v>0.12249999999999998</c:v>
                </c:pt>
                <c:pt idx="8">
                  <c:v>0.16000000000000003</c:v>
                </c:pt>
                <c:pt idx="9">
                  <c:v>0.2025</c:v>
                </c:pt>
                <c:pt idx="10">
                  <c:v>0.25</c:v>
                </c:pt>
                <c:pt idx="11">
                  <c:v>0.30250000000000005</c:v>
                </c:pt>
                <c:pt idx="12">
                  <c:v>0.36</c:v>
                </c:pt>
                <c:pt idx="13">
                  <c:v>0.42250000000000004</c:v>
                </c:pt>
                <c:pt idx="14">
                  <c:v>0.48999999999999994</c:v>
                </c:pt>
                <c:pt idx="15">
                  <c:v>0.5625</c:v>
                </c:pt>
                <c:pt idx="16">
                  <c:v>0.6400000000000001</c:v>
                </c:pt>
                <c:pt idx="17">
                  <c:v>0.7224999999999999</c:v>
                </c:pt>
                <c:pt idx="18">
                  <c:v>0.81</c:v>
                </c:pt>
                <c:pt idx="19">
                  <c:v>0.9025</c:v>
                </c:pt>
                <c:pt idx="20">
                  <c:v>1</c:v>
                </c:pt>
              </c:numCache>
            </c:numRef>
          </c:xVal>
          <c:yVal>
            <c:numRef>
              <c:f>dati!$K$12:$K$32</c:f>
              <c:numCache>
                <c:ptCount val="21"/>
                <c:pt idx="0">
                  <c:v>0</c:v>
                </c:pt>
                <c:pt idx="1">
                  <c:v>0.01743336832586719</c:v>
                </c:pt>
                <c:pt idx="2">
                  <c:v>0.034074147942</c:v>
                </c:pt>
                <c:pt idx="3">
                  <c:v>0.04983025780961719</c:v>
                </c:pt>
                <c:pt idx="4">
                  <c:v>0.06455445043199999</c:v>
                </c:pt>
                <c:pt idx="5">
                  <c:v>0.07805330749511717</c:v>
                </c:pt>
                <c:pt idx="6">
                  <c:v>0.09009916234200001</c:v>
                </c:pt>
                <c:pt idx="7">
                  <c:v>0.10044427785836718</c:v>
                </c:pt>
                <c:pt idx="8">
                  <c:v>0.10883641651199998</c:v>
                </c:pt>
                <c:pt idx="9">
                  <c:v>0.11503474745336716</c:v>
                </c:pt>
                <c:pt idx="10">
                  <c:v>0.11882484374999999</c:v>
                </c:pt>
                <c:pt idx="11">
                  <c:v>0.12003133099211719</c:v>
                </c:pt>
                <c:pt idx="12">
                  <c:v>0.11852655667200002</c:v>
                </c:pt>
                <c:pt idx="13">
                  <c:v>0.11423345790461718</c:v>
                </c:pt>
                <c:pt idx="14">
                  <c:v>0.107120613222</c:v>
                </c:pt>
                <c:pt idx="15">
                  <c:v>0.0971872723388672</c:v>
                </c:pt>
                <c:pt idx="16">
                  <c:v>0.08443596595199994</c:v>
                </c:pt>
                <c:pt idx="17">
                  <c:v>0.06883010580086721</c:v>
                </c:pt>
                <c:pt idx="18">
                  <c:v>0.050233793381999944</c:v>
                </c:pt>
                <c:pt idx="19">
                  <c:v>0.028330863874617133</c:v>
                </c:pt>
                <c:pt idx="20">
                  <c:v>0.0025199999999999554</c:v>
                </c:pt>
              </c:numCache>
            </c:numRef>
          </c:yVal>
          <c:smooth val="1"/>
        </c:ser>
        <c:ser>
          <c:idx val="1"/>
          <c:order val="1"/>
          <c:tx>
            <c:v>ventre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dati!$H$12:$H$32</c:f>
              <c:numCache>
                <c:ptCount val="21"/>
                <c:pt idx="0">
                  <c:v>0</c:v>
                </c:pt>
                <c:pt idx="1">
                  <c:v>0.0025000000000000005</c:v>
                </c:pt>
                <c:pt idx="2">
                  <c:v>0.010000000000000002</c:v>
                </c:pt>
                <c:pt idx="3">
                  <c:v>0.0225</c:v>
                </c:pt>
                <c:pt idx="4">
                  <c:v>0.04000000000000001</c:v>
                </c:pt>
                <c:pt idx="5">
                  <c:v>0.0625</c:v>
                </c:pt>
                <c:pt idx="6">
                  <c:v>0.09</c:v>
                </c:pt>
                <c:pt idx="7">
                  <c:v>0.12249999999999998</c:v>
                </c:pt>
                <c:pt idx="8">
                  <c:v>0.16000000000000003</c:v>
                </c:pt>
                <c:pt idx="9">
                  <c:v>0.2025</c:v>
                </c:pt>
                <c:pt idx="10">
                  <c:v>0.25</c:v>
                </c:pt>
                <c:pt idx="11">
                  <c:v>0.30250000000000005</c:v>
                </c:pt>
                <c:pt idx="12">
                  <c:v>0.36</c:v>
                </c:pt>
                <c:pt idx="13">
                  <c:v>0.42250000000000004</c:v>
                </c:pt>
                <c:pt idx="14">
                  <c:v>0.48999999999999994</c:v>
                </c:pt>
                <c:pt idx="15">
                  <c:v>0.5625</c:v>
                </c:pt>
                <c:pt idx="16">
                  <c:v>0.6400000000000001</c:v>
                </c:pt>
                <c:pt idx="17">
                  <c:v>0.7224999999999999</c:v>
                </c:pt>
                <c:pt idx="18">
                  <c:v>0.81</c:v>
                </c:pt>
                <c:pt idx="19">
                  <c:v>0.9025</c:v>
                </c:pt>
                <c:pt idx="20">
                  <c:v>1</c:v>
                </c:pt>
              </c:numCache>
            </c:numRef>
          </c:xVal>
          <c:yVal>
            <c:numRef>
              <c:f>dati!$L$12:$L$32</c:f>
              <c:numCache>
                <c:ptCount val="21"/>
                <c:pt idx="0">
                  <c:v>0</c:v>
                </c:pt>
                <c:pt idx="1">
                  <c:v>-0.01743336832586719</c:v>
                </c:pt>
                <c:pt idx="2">
                  <c:v>-0.034074147942</c:v>
                </c:pt>
                <c:pt idx="3">
                  <c:v>-0.04983025780961719</c:v>
                </c:pt>
                <c:pt idx="4">
                  <c:v>-0.06455445043199999</c:v>
                </c:pt>
                <c:pt idx="5">
                  <c:v>-0.07805330749511717</c:v>
                </c:pt>
                <c:pt idx="6">
                  <c:v>-0.09009916234200001</c:v>
                </c:pt>
                <c:pt idx="7">
                  <c:v>-0.10044427785836718</c:v>
                </c:pt>
                <c:pt idx="8">
                  <c:v>-0.10883641651199998</c:v>
                </c:pt>
                <c:pt idx="9">
                  <c:v>-0.11503474745336716</c:v>
                </c:pt>
                <c:pt idx="10">
                  <c:v>-0.11882484374999999</c:v>
                </c:pt>
                <c:pt idx="11">
                  <c:v>-0.12003133099211719</c:v>
                </c:pt>
                <c:pt idx="12">
                  <c:v>-0.11852655667200002</c:v>
                </c:pt>
                <c:pt idx="13">
                  <c:v>-0.11423345790461718</c:v>
                </c:pt>
                <c:pt idx="14">
                  <c:v>-0.107120613222</c:v>
                </c:pt>
                <c:pt idx="15">
                  <c:v>-0.0971872723388672</c:v>
                </c:pt>
                <c:pt idx="16">
                  <c:v>-0.08443596595199994</c:v>
                </c:pt>
                <c:pt idx="17">
                  <c:v>-0.06883010580086721</c:v>
                </c:pt>
                <c:pt idx="18">
                  <c:v>-0.050233793381999944</c:v>
                </c:pt>
                <c:pt idx="19">
                  <c:v>-0.028330863874617133</c:v>
                </c:pt>
                <c:pt idx="20">
                  <c:v>-0.0025199999999999554</c:v>
                </c:pt>
              </c:numCache>
            </c:numRef>
          </c:yVal>
          <c:smooth val="1"/>
        </c:ser>
        <c:axId val="29834923"/>
        <c:axId val="78852"/>
      </c:scatterChart>
      <c:valAx>
        <c:axId val="29834923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x/c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78852"/>
        <c:crosses val="autoZero"/>
        <c:crossBetween val="midCat"/>
        <c:dispUnits/>
      </c:valAx>
      <c:valAx>
        <c:axId val="78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Yt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98349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25"/>
          <c:y val="0.7765"/>
          <c:w val="0.11075"/>
          <c:h val="0.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EURO NACA 2 4 12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885"/>
          <c:w val="0.954"/>
          <c:h val="0.8495"/>
        </c:manualLayout>
      </c:layout>
      <c:bubbleChart>
        <c:varyColors val="0"/>
        <c:ser>
          <c:idx val="0"/>
          <c:order val="0"/>
          <c:tx>
            <c:strRef>
              <c:f>dati!$E$3:$H$3</c:f>
              <c:strCache>
                <c:ptCount val="1"/>
                <c:pt idx="0">
                  <c:v>NACA 2 4 24</c:v>
                </c:pt>
              </c:strCache>
            </c:strRef>
          </c:tx>
          <c:spPr>
            <a:noFill/>
            <a:ln w="12700">
              <a:solidFill>
                <a:srgbClr val="FF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dati!$H$12:$H$32</c:f>
              <c:numCache>
                <c:ptCount val="21"/>
                <c:pt idx="0">
                  <c:v>0</c:v>
                </c:pt>
                <c:pt idx="1">
                  <c:v>0.0025000000000000005</c:v>
                </c:pt>
                <c:pt idx="2">
                  <c:v>0.010000000000000002</c:v>
                </c:pt>
                <c:pt idx="3">
                  <c:v>0.0225</c:v>
                </c:pt>
                <c:pt idx="4">
                  <c:v>0.04000000000000001</c:v>
                </c:pt>
                <c:pt idx="5">
                  <c:v>0.0625</c:v>
                </c:pt>
                <c:pt idx="6">
                  <c:v>0.09</c:v>
                </c:pt>
                <c:pt idx="7">
                  <c:v>0.12249999999999998</c:v>
                </c:pt>
                <c:pt idx="8">
                  <c:v>0.16000000000000003</c:v>
                </c:pt>
                <c:pt idx="9">
                  <c:v>0.2025</c:v>
                </c:pt>
                <c:pt idx="10">
                  <c:v>0.25</c:v>
                </c:pt>
                <c:pt idx="11">
                  <c:v>0.30250000000000005</c:v>
                </c:pt>
                <c:pt idx="12">
                  <c:v>0.36</c:v>
                </c:pt>
                <c:pt idx="13">
                  <c:v>0.42250000000000004</c:v>
                </c:pt>
                <c:pt idx="14">
                  <c:v>0.48999999999999994</c:v>
                </c:pt>
                <c:pt idx="15">
                  <c:v>0.5625</c:v>
                </c:pt>
                <c:pt idx="16">
                  <c:v>0.6400000000000001</c:v>
                </c:pt>
                <c:pt idx="17">
                  <c:v>0.7224999999999999</c:v>
                </c:pt>
                <c:pt idx="18">
                  <c:v>0.81</c:v>
                </c:pt>
                <c:pt idx="19">
                  <c:v>0.9025</c:v>
                </c:pt>
                <c:pt idx="20">
                  <c:v>1</c:v>
                </c:pt>
              </c:numCache>
            </c:numRef>
          </c:xVal>
          <c:yVal>
            <c:numRef>
              <c:f>dati!$J$12:$J$32</c:f>
              <c:numCache>
                <c:ptCount val="21"/>
                <c:pt idx="0">
                  <c:v>0</c:v>
                </c:pt>
                <c:pt idx="1">
                  <c:v>0.00024921875</c:v>
                </c:pt>
                <c:pt idx="2">
                  <c:v>0.0009875</c:v>
                </c:pt>
                <c:pt idx="3">
                  <c:v>0.0021867187499999994</c:v>
                </c:pt>
                <c:pt idx="4">
                  <c:v>0.0038</c:v>
                </c:pt>
                <c:pt idx="5">
                  <c:v>0.0057617187499999995</c:v>
                </c:pt>
                <c:pt idx="6">
                  <c:v>0.007987499999999998</c:v>
                </c:pt>
                <c:pt idx="7">
                  <c:v>0.010374218749999997</c:v>
                </c:pt>
                <c:pt idx="8">
                  <c:v>0.012799999999999999</c:v>
                </c:pt>
                <c:pt idx="9">
                  <c:v>0.01512421875</c:v>
                </c:pt>
                <c:pt idx="10">
                  <c:v>0.017187499999999998</c:v>
                </c:pt>
                <c:pt idx="11">
                  <c:v>0.01881171875</c:v>
                </c:pt>
                <c:pt idx="12">
                  <c:v>0.019799999999999995</c:v>
                </c:pt>
                <c:pt idx="13">
                  <c:v>0.019971875</c:v>
                </c:pt>
                <c:pt idx="14">
                  <c:v>0.019549999999999998</c:v>
                </c:pt>
                <c:pt idx="15">
                  <c:v>0.018532986111111108</c:v>
                </c:pt>
                <c:pt idx="16">
                  <c:v>0.016799999999999995</c:v>
                </c:pt>
                <c:pt idx="17">
                  <c:v>0.014221875000000002</c:v>
                </c:pt>
                <c:pt idx="18">
                  <c:v>0.010661111111111109</c:v>
                </c:pt>
                <c:pt idx="19">
                  <c:v>0.005971874999999997</c:v>
                </c:pt>
                <c:pt idx="20">
                  <c:v>0</c:v>
                </c:pt>
              </c:numCache>
            </c:numRef>
          </c:yVal>
          <c:bubbleSize>
            <c:numRef>
              <c:f>dati!$M$12:$M$32</c:f>
              <c:numCache>
                <c:ptCount val="21"/>
                <c:pt idx="0">
                  <c:v>0</c:v>
                </c:pt>
                <c:pt idx="1">
                  <c:v>0.03486673665173438</c:v>
                </c:pt>
                <c:pt idx="2">
                  <c:v>0.068148295884</c:v>
                </c:pt>
                <c:pt idx="3">
                  <c:v>0.09966051561923438</c:v>
                </c:pt>
                <c:pt idx="4">
                  <c:v>0.12910890086399998</c:v>
                </c:pt>
                <c:pt idx="5">
                  <c:v>0.15610661499023434</c:v>
                </c:pt>
                <c:pt idx="6">
                  <c:v>0.18019832468400002</c:v>
                </c:pt>
                <c:pt idx="7">
                  <c:v>0.20088855571673436</c:v>
                </c:pt>
                <c:pt idx="8">
                  <c:v>0.21767283302399995</c:v>
                </c:pt>
                <c:pt idx="9">
                  <c:v>0.2300694949067343</c:v>
                </c:pt>
                <c:pt idx="10">
                  <c:v>0.23764968749999998</c:v>
                </c:pt>
                <c:pt idx="11">
                  <c:v>0.24006266198423437</c:v>
                </c:pt>
                <c:pt idx="12">
                  <c:v>0.23705311334400003</c:v>
                </c:pt>
                <c:pt idx="13">
                  <c:v>0.22846691580923437</c:v>
                </c:pt>
                <c:pt idx="14">
                  <c:v>0.214241226444</c:v>
                </c:pt>
                <c:pt idx="15">
                  <c:v>0.1943745446777344</c:v>
                </c:pt>
                <c:pt idx="16">
                  <c:v>0.16887193190399988</c:v>
                </c:pt>
                <c:pt idx="17">
                  <c:v>0.13766021160173442</c:v>
                </c:pt>
                <c:pt idx="18">
                  <c:v>0.10046758676399989</c:v>
                </c:pt>
                <c:pt idx="19">
                  <c:v>0.05666172774923427</c:v>
                </c:pt>
                <c:pt idx="20">
                  <c:v>0.005039999999999911</c:v>
                </c:pt>
              </c:numCache>
            </c:numRef>
          </c:bubbleSize>
        </c:ser>
        <c:bubbleScale val="200"/>
        <c:sizeRepresents val="w"/>
        <c:axId val="709669"/>
        <c:axId val="6387022"/>
      </c:bubbleChart>
      <c:valAx>
        <c:axId val="709669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x/c</a:t>
                </a:r>
              </a:p>
            </c:rich>
          </c:tx>
          <c:layout>
            <c:manualLayout>
              <c:xMode val="factor"/>
              <c:yMode val="factor"/>
              <c:x val="0.019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7022"/>
        <c:crosses val="autoZero"/>
        <c:crossBetween val="midCat"/>
        <c:dispUnits/>
        <c:majorUnit val="0.1"/>
      </c:valAx>
      <c:valAx>
        <c:axId val="6387022"/>
        <c:scaling>
          <c:orientation val="minMax"/>
          <c:max val="0.05"/>
          <c:min val="-0.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Ycl, Yt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966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9525</xdr:rowOff>
    </xdr:from>
    <xdr:to>
      <xdr:col>15</xdr:col>
      <xdr:colOff>28575</xdr:colOff>
      <xdr:row>19</xdr:row>
      <xdr:rowOff>85725</xdr:rowOff>
    </xdr:to>
    <xdr:graphicFrame>
      <xdr:nvGraphicFramePr>
        <xdr:cNvPr id="1" name="Grafico 1025"/>
        <xdr:cNvGraphicFramePr/>
      </xdr:nvGraphicFramePr>
      <xdr:xfrm>
        <a:off x="2686050" y="847725"/>
        <a:ext cx="44005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123825</xdr:rowOff>
    </xdr:from>
    <xdr:to>
      <xdr:col>12</xdr:col>
      <xdr:colOff>28575</xdr:colOff>
      <xdr:row>32</xdr:row>
      <xdr:rowOff>76200</xdr:rowOff>
    </xdr:to>
    <xdr:graphicFrame>
      <xdr:nvGraphicFramePr>
        <xdr:cNvPr id="1" name="Grafico 1"/>
        <xdr:cNvGraphicFramePr/>
      </xdr:nvGraphicFramePr>
      <xdr:xfrm>
        <a:off x="6334125" y="1943100"/>
        <a:ext cx="29337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11</xdr:row>
      <xdr:rowOff>142875</xdr:rowOff>
    </xdr:from>
    <xdr:to>
      <xdr:col>0</xdr:col>
      <xdr:colOff>2943225</xdr:colOff>
      <xdr:row>32</xdr:row>
      <xdr:rowOff>66675</xdr:rowOff>
    </xdr:to>
    <xdr:graphicFrame>
      <xdr:nvGraphicFramePr>
        <xdr:cNvPr id="2" name="Grafico 2"/>
        <xdr:cNvGraphicFramePr/>
      </xdr:nvGraphicFramePr>
      <xdr:xfrm>
        <a:off x="19050" y="1962150"/>
        <a:ext cx="292417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3057525</xdr:colOff>
      <xdr:row>11</xdr:row>
      <xdr:rowOff>133350</xdr:rowOff>
    </xdr:from>
    <xdr:to>
      <xdr:col>6</xdr:col>
      <xdr:colOff>209550</xdr:colOff>
      <xdr:row>32</xdr:row>
      <xdr:rowOff>76200</xdr:rowOff>
    </xdr:to>
    <xdr:graphicFrame>
      <xdr:nvGraphicFramePr>
        <xdr:cNvPr id="3" name="Grafico 3"/>
        <xdr:cNvGraphicFramePr/>
      </xdr:nvGraphicFramePr>
      <xdr:xfrm>
        <a:off x="3057525" y="1952625"/>
        <a:ext cx="3181350" cy="3343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35</xdr:row>
      <xdr:rowOff>28575</xdr:rowOff>
    </xdr:from>
    <xdr:to>
      <xdr:col>18</xdr:col>
      <xdr:colOff>142875</xdr:colOff>
      <xdr:row>66</xdr:row>
      <xdr:rowOff>19050</xdr:rowOff>
    </xdr:to>
    <xdr:graphicFrame>
      <xdr:nvGraphicFramePr>
        <xdr:cNvPr id="1" name="Grafico 7"/>
        <xdr:cNvGraphicFramePr/>
      </xdr:nvGraphicFramePr>
      <xdr:xfrm>
        <a:off x="990600" y="5762625"/>
        <a:ext cx="77247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19</xdr:col>
      <xdr:colOff>9525</xdr:colOff>
      <xdr:row>9</xdr:row>
      <xdr:rowOff>0</xdr:rowOff>
    </xdr:to>
    <xdr:graphicFrame>
      <xdr:nvGraphicFramePr>
        <xdr:cNvPr id="2" name="Grafico 10"/>
        <xdr:cNvGraphicFramePr/>
      </xdr:nvGraphicFramePr>
      <xdr:xfrm>
        <a:off x="3209925" y="0"/>
        <a:ext cx="5981700" cy="152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9</xdr:col>
      <xdr:colOff>523875</xdr:colOff>
      <xdr:row>6</xdr:row>
      <xdr:rowOff>104775</xdr:rowOff>
    </xdr:to>
    <xdr:graphicFrame>
      <xdr:nvGraphicFramePr>
        <xdr:cNvPr id="1" name="Grafico 1"/>
        <xdr:cNvGraphicFramePr/>
      </xdr:nvGraphicFramePr>
      <xdr:xfrm>
        <a:off x="0" y="0"/>
        <a:ext cx="6010275" cy="107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</xdr:row>
      <xdr:rowOff>28575</xdr:rowOff>
    </xdr:from>
    <xdr:to>
      <xdr:col>9</xdr:col>
      <xdr:colOff>533400</xdr:colOff>
      <xdr:row>18</xdr:row>
      <xdr:rowOff>123825</xdr:rowOff>
    </xdr:to>
    <xdr:graphicFrame>
      <xdr:nvGraphicFramePr>
        <xdr:cNvPr id="2" name="Grafico 2"/>
        <xdr:cNvGraphicFramePr/>
      </xdr:nvGraphicFramePr>
      <xdr:xfrm>
        <a:off x="0" y="1162050"/>
        <a:ext cx="601980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19</xdr:row>
      <xdr:rowOff>28575</xdr:rowOff>
    </xdr:from>
    <xdr:to>
      <xdr:col>9</xdr:col>
      <xdr:colOff>561975</xdr:colOff>
      <xdr:row>32</xdr:row>
      <xdr:rowOff>0</xdr:rowOff>
    </xdr:to>
    <xdr:graphicFrame>
      <xdr:nvGraphicFramePr>
        <xdr:cNvPr id="3" name="Grafico 3"/>
        <xdr:cNvGraphicFramePr/>
      </xdr:nvGraphicFramePr>
      <xdr:xfrm>
        <a:off x="0" y="3105150"/>
        <a:ext cx="6048375" cy="2076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47625</xdr:rowOff>
    </xdr:from>
    <xdr:to>
      <xdr:col>9</xdr:col>
      <xdr:colOff>561975</xdr:colOff>
      <xdr:row>41</xdr:row>
      <xdr:rowOff>123825</xdr:rowOff>
    </xdr:to>
    <xdr:graphicFrame>
      <xdr:nvGraphicFramePr>
        <xdr:cNvPr id="4" name="Grafico 5"/>
        <xdr:cNvGraphicFramePr/>
      </xdr:nvGraphicFramePr>
      <xdr:xfrm>
        <a:off x="0" y="5229225"/>
        <a:ext cx="6048375" cy="153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514350</xdr:colOff>
      <xdr:row>6</xdr:row>
      <xdr:rowOff>95250</xdr:rowOff>
    </xdr:from>
    <xdr:to>
      <xdr:col>12</xdr:col>
      <xdr:colOff>438150</xdr:colOff>
      <xdr:row>9</xdr:row>
      <xdr:rowOff>142875</xdr:rowOff>
    </xdr:to>
    <xdr:sp>
      <xdr:nvSpPr>
        <xdr:cNvPr id="5" name="Rectangle 4"/>
        <xdr:cNvSpPr>
          <a:spLocks noChangeAspect="1"/>
        </xdr:cNvSpPr>
      </xdr:nvSpPr>
      <xdr:spPr>
        <a:xfrm>
          <a:off x="7219950" y="1066800"/>
          <a:ext cx="5334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zoomScale="130" zoomScaleNormal="130" zoomScalePageLayoutView="0" workbookViewId="0" topLeftCell="A1">
      <selection activeCell="E2" sqref="E2"/>
    </sheetView>
  </sheetViews>
  <sheetFormatPr defaultColWidth="9.140625" defaultRowHeight="12.75"/>
  <cols>
    <col min="1" max="1" width="3.421875" style="0" bestFit="1" customWidth="1"/>
    <col min="2" max="2" width="8.00390625" style="0" customWidth="1"/>
    <col min="3" max="3" width="7.00390625" style="0" customWidth="1"/>
    <col min="4" max="4" width="7.57421875" style="0" bestFit="1" customWidth="1"/>
    <col min="5" max="5" width="7.28125" style="0" customWidth="1"/>
    <col min="6" max="6" width="6.57421875" style="0" bestFit="1" customWidth="1"/>
    <col min="7" max="7" width="3.00390625" style="0" customWidth="1"/>
    <col min="8" max="8" width="9.421875" style="0" bestFit="1" customWidth="1"/>
    <col min="9" max="9" width="3.140625" style="0" customWidth="1"/>
    <col min="10" max="11" width="9.421875" style="0" bestFit="1" customWidth="1"/>
    <col min="12" max="12" width="3.57421875" style="0" customWidth="1"/>
    <col min="13" max="14" width="9.421875" style="0" bestFit="1" customWidth="1"/>
  </cols>
  <sheetData>
    <row r="1" spans="1:15" ht="36.7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ht="29.25" customHeight="1"/>
    <row r="3" spans="1:14" ht="20.25">
      <c r="A3" s="73" t="s">
        <v>29</v>
      </c>
      <c r="B3" s="73"/>
      <c r="C3" s="73"/>
      <c r="D3" s="73"/>
      <c r="E3" s="73"/>
      <c r="F3" s="48"/>
      <c r="G3" s="48"/>
      <c r="H3" s="48"/>
      <c r="I3" s="32"/>
      <c r="J3" s="32"/>
      <c r="K3" s="32"/>
      <c r="L3" s="32"/>
      <c r="M3" s="32"/>
      <c r="N3" s="32"/>
    </row>
    <row r="4" spans="1:14" ht="12.75">
      <c r="A4" s="2"/>
      <c r="B4" s="2"/>
      <c r="C4" s="2"/>
      <c r="D4" s="2"/>
      <c r="E4" s="2"/>
      <c r="F4" s="2"/>
      <c r="G4" s="2"/>
      <c r="H4" s="2"/>
      <c r="I4" s="32"/>
      <c r="J4" s="32"/>
      <c r="K4" s="32"/>
      <c r="L4" s="32"/>
      <c r="M4" s="32"/>
      <c r="N4" s="32"/>
    </row>
    <row r="5" spans="1:5" s="33" customFormat="1" ht="20.25">
      <c r="A5" s="38" t="s">
        <v>25</v>
      </c>
      <c r="B5" s="43"/>
      <c r="C5" s="57">
        <v>164</v>
      </c>
      <c r="D5" s="44"/>
      <c r="E5" s="44"/>
    </row>
    <row r="6" spans="1:5" s="33" customFormat="1" ht="4.5" customHeight="1">
      <c r="A6" s="35"/>
      <c r="B6" s="35"/>
      <c r="C6" s="36"/>
      <c r="D6" s="36"/>
      <c r="E6" s="36"/>
    </row>
    <row r="7" spans="1:7" s="33" customFormat="1" ht="20.25">
      <c r="A7" s="38" t="s">
        <v>0</v>
      </c>
      <c r="B7" s="39"/>
      <c r="C7" s="41">
        <v>2</v>
      </c>
      <c r="D7" s="41">
        <v>4</v>
      </c>
      <c r="E7" s="34">
        <v>1</v>
      </c>
      <c r="F7" s="71">
        <v>2</v>
      </c>
      <c r="G7" s="45"/>
    </row>
    <row r="8" spans="3:7" s="31" customFormat="1" ht="5.25" customHeight="1">
      <c r="C8" s="49"/>
      <c r="G8" s="46"/>
    </row>
    <row r="9" spans="3:7" s="31" customFormat="1" ht="15.75">
      <c r="C9" s="42" t="s">
        <v>27</v>
      </c>
      <c r="D9" s="42" t="s">
        <v>28</v>
      </c>
      <c r="E9" s="74" t="s">
        <v>30</v>
      </c>
      <c r="F9" s="74"/>
      <c r="G9" s="44"/>
    </row>
    <row r="10" spans="3:7" s="31" customFormat="1" ht="15">
      <c r="C10" s="40">
        <f>C7/100</f>
        <v>0.02</v>
      </c>
      <c r="D10" s="50">
        <f>D7/10</f>
        <v>0.4</v>
      </c>
      <c r="E10" s="75">
        <f>(E7*10+F7)/100</f>
        <v>0.12</v>
      </c>
      <c r="F10" s="75"/>
      <c r="G10" s="47"/>
    </row>
    <row r="11" spans="4:8" ht="12.75">
      <c r="D11" s="23"/>
      <c r="E11" s="23"/>
      <c r="F11" s="23"/>
      <c r="G11" s="23"/>
      <c r="H11" s="23"/>
    </row>
    <row r="12" spans="4:8" ht="12.75">
      <c r="D12" s="23"/>
      <c r="E12" s="23"/>
      <c r="F12" s="23"/>
      <c r="G12" s="23"/>
      <c r="H12" s="23"/>
    </row>
    <row r="13" spans="4:8" ht="12.75">
      <c r="D13" s="23"/>
      <c r="E13" s="23"/>
      <c r="F13" s="23"/>
      <c r="G13" s="23"/>
      <c r="H13" s="23"/>
    </row>
    <row r="14" spans="4:8" ht="12.75">
      <c r="D14" s="23"/>
      <c r="E14" s="23"/>
      <c r="F14" s="23"/>
      <c r="G14" s="23"/>
      <c r="H14" s="23"/>
    </row>
    <row r="15" spans="4:8" ht="12.75">
      <c r="D15" s="23"/>
      <c r="E15" s="23"/>
      <c r="F15" s="23"/>
      <c r="G15" s="23"/>
      <c r="H15" s="23"/>
    </row>
    <row r="16" spans="4:8" ht="12.75">
      <c r="D16" s="23"/>
      <c r="E16" s="23"/>
      <c r="F16" s="23"/>
      <c r="G16" s="23"/>
      <c r="H16" s="23"/>
    </row>
    <row r="17" spans="4:8" ht="12.75">
      <c r="D17" s="23"/>
      <c r="E17" s="23"/>
      <c r="F17" s="23"/>
      <c r="G17" s="23"/>
      <c r="H17" s="23"/>
    </row>
    <row r="18" spans="4:8" ht="12.75">
      <c r="D18" s="23"/>
      <c r="E18" s="23"/>
      <c r="F18" s="23"/>
      <c r="G18" s="23"/>
      <c r="H18" s="23"/>
    </row>
    <row r="19" spans="1:8" ht="12.75">
      <c r="A19" s="72" t="s">
        <v>37</v>
      </c>
      <c r="B19" s="72"/>
      <c r="C19" s="13">
        <v>40</v>
      </c>
      <c r="E19" s="12"/>
      <c r="F19" s="23"/>
      <c r="G19" s="23"/>
      <c r="H19" s="23"/>
    </row>
    <row r="21" spans="1:14" ht="12.75">
      <c r="A21" s="3" t="s">
        <v>26</v>
      </c>
      <c r="B21" s="55" t="s">
        <v>16</v>
      </c>
      <c r="C21" s="37" t="s">
        <v>38</v>
      </c>
      <c r="D21" s="3" t="s">
        <v>10</v>
      </c>
      <c r="E21" s="6"/>
      <c r="F21" s="55" t="s">
        <v>36</v>
      </c>
      <c r="G21" s="6"/>
      <c r="H21" s="3" t="s">
        <v>31</v>
      </c>
      <c r="I21" s="6"/>
      <c r="J21" s="51" t="s">
        <v>32</v>
      </c>
      <c r="K21" s="51" t="s">
        <v>33</v>
      </c>
      <c r="L21" s="28"/>
      <c r="M21" s="53" t="s">
        <v>34</v>
      </c>
      <c r="N21" s="53" t="s">
        <v>35</v>
      </c>
    </row>
    <row r="22" spans="1:14" ht="12.75">
      <c r="A22" s="30">
        <v>0</v>
      </c>
      <c r="B22" s="56">
        <f>((COS((180-A22*(180/$C$19))*PI()/180)+1)/2)*(A22/$C$19)^(1/3)</f>
        <v>0</v>
      </c>
      <c r="C22" s="24">
        <f>B22</f>
        <v>0</v>
      </c>
      <c r="D22" s="24">
        <f aca="true" t="shared" si="0" ref="D22:D62">IF($D$10=0,0,ATAN($C$10/$D$10^2*($D$10-B22)))</f>
        <v>0.04995839572194275</v>
      </c>
      <c r="E22" s="29"/>
      <c r="F22" s="56">
        <f>IF(D7=0,0,IF(B22&lt;=$D$10,($C$10/$D$10^2)*(2*$D$10*B22-B22^2),($C$10/(1-$D$10)^2)*(1-2*$D$10+2*$D$10*B22-B22^2)))</f>
        <v>0</v>
      </c>
      <c r="G22" s="29"/>
      <c r="H22" s="24">
        <f aca="true" t="shared" si="1" ref="H22:H62">($E$10/0.2)*(0.2969*SQRT(B22)-0.126*B22-0.3516*B22^2+0.2843*B22^3-0.1015*B22^4)</f>
        <v>0</v>
      </c>
      <c r="I22" s="29"/>
      <c r="J22" s="52">
        <f aca="true" t="shared" si="2" ref="J22:J62">B22-H22*SIN(D22)</f>
        <v>0</v>
      </c>
      <c r="K22" s="52">
        <f aca="true" t="shared" si="3" ref="K22:K62">F22+H22*COS(D22)</f>
        <v>0</v>
      </c>
      <c r="L22" s="29"/>
      <c r="M22" s="54">
        <f aca="true" t="shared" si="4" ref="M22:M62">B22+H22*SIN(D22)</f>
        <v>0</v>
      </c>
      <c r="N22" s="54">
        <f aca="true" t="shared" si="5" ref="N22:N62">F22-H22*COS(D22)</f>
        <v>0</v>
      </c>
    </row>
    <row r="23" spans="1:14" ht="12.75">
      <c r="A23" s="30">
        <f>A22+1</f>
        <v>1</v>
      </c>
      <c r="B23" s="56">
        <f aca="true" t="shared" si="6" ref="B23:B62">((COS((180-A23*(180/$C$19))*PI()/180)+1)/2)*(A23/$C$19)^(1/3)</f>
        <v>0.0004506885422662136</v>
      </c>
      <c r="C23" s="24">
        <f>B23-B22</f>
        <v>0.0004506885422662136</v>
      </c>
      <c r="D23" s="24">
        <f t="shared" si="0"/>
        <v>0.04990219998526812</v>
      </c>
      <c r="E23" s="29"/>
      <c r="F23" s="56">
        <f aca="true" t="shared" si="7" ref="F23:F62">IF(B23&lt;=$D$10,($C$10/$D$10^2)*(2*$D$10*B23-B23^2),($C$10/(1-$D$10)^2)*(1-2*$D$10+2*$D$10*B23-B23^2))</f>
        <v>4.50434642063551E-05</v>
      </c>
      <c r="G23" s="29"/>
      <c r="H23" s="24">
        <f t="shared" si="1"/>
        <v>0.0037476951178690033</v>
      </c>
      <c r="I23" s="29"/>
      <c r="J23" s="52">
        <f t="shared" si="2"/>
        <v>0.00026374792106792207</v>
      </c>
      <c r="K23" s="52">
        <f t="shared" si="3"/>
        <v>0.00378807323975519</v>
      </c>
      <c r="L23" s="29"/>
      <c r="M23" s="54">
        <f t="shared" si="4"/>
        <v>0.0006376291634645051</v>
      </c>
      <c r="N23" s="54">
        <f t="shared" si="5"/>
        <v>-0.00369798631134248</v>
      </c>
    </row>
    <row r="24" spans="1:14" ht="12.75">
      <c r="A24" s="30">
        <f aca="true" t="shared" si="8" ref="A24:A62">A23+1</f>
        <v>2</v>
      </c>
      <c r="B24" s="56">
        <f t="shared" si="6"/>
        <v>0.0022678270524022514</v>
      </c>
      <c r="C24" s="24">
        <f aca="true" t="shared" si="9" ref="C24:C62">B24-B23</f>
        <v>0.0018171385101360378</v>
      </c>
      <c r="D24" s="24">
        <f t="shared" si="0"/>
        <v>0.0496756202785206</v>
      </c>
      <c r="E24" s="29"/>
      <c r="F24" s="56">
        <f t="shared" si="7"/>
        <v>0.00022613982529777417</v>
      </c>
      <c r="G24" s="29"/>
      <c r="H24" s="24">
        <f t="shared" si="1"/>
        <v>0.008310800312069272</v>
      </c>
      <c r="I24" s="29"/>
      <c r="J24" s="52">
        <f t="shared" si="2"/>
        <v>0.0018551526646098505</v>
      </c>
      <c r="K24" s="52">
        <f t="shared" si="3"/>
        <v>0.00852668810096914</v>
      </c>
      <c r="L24" s="29"/>
      <c r="M24" s="54">
        <f t="shared" si="4"/>
        <v>0.0026805014401946525</v>
      </c>
      <c r="N24" s="54">
        <f t="shared" si="5"/>
        <v>-0.00807440845037359</v>
      </c>
    </row>
    <row r="25" spans="1:14" ht="12.75">
      <c r="A25" s="30">
        <f t="shared" si="8"/>
        <v>3</v>
      </c>
      <c r="B25" s="56">
        <f t="shared" si="6"/>
        <v>0.005826027920371789</v>
      </c>
      <c r="C25" s="24">
        <f t="shared" si="9"/>
        <v>0.003558200867969538</v>
      </c>
      <c r="D25" s="24">
        <f t="shared" si="0"/>
        <v>0.049231932066661654</v>
      </c>
      <c r="E25" s="29"/>
      <c r="F25" s="56">
        <f t="shared" si="7"/>
        <v>0.00057835996687106</v>
      </c>
      <c r="G25" s="29"/>
      <c r="H25" s="24">
        <f t="shared" si="1"/>
        <v>0.013149570416481215</v>
      </c>
      <c r="I25" s="29"/>
      <c r="J25" s="52">
        <f t="shared" si="2"/>
        <v>0.0051789106488495775</v>
      </c>
      <c r="K25" s="52">
        <f t="shared" si="3"/>
        <v>0.013711997748342558</v>
      </c>
      <c r="L25" s="29"/>
      <c r="M25" s="54">
        <f t="shared" si="4"/>
        <v>0.006473145191894001</v>
      </c>
      <c r="N25" s="54">
        <f t="shared" si="5"/>
        <v>-0.01255527781460044</v>
      </c>
    </row>
    <row r="26" spans="1:14" ht="12.75">
      <c r="A26" s="30">
        <f t="shared" si="8"/>
        <v>4</v>
      </c>
      <c r="B26" s="56">
        <f t="shared" si="6"/>
        <v>0.011358776372126221</v>
      </c>
      <c r="C26" s="24">
        <f t="shared" si="9"/>
        <v>0.005532748451754432</v>
      </c>
      <c r="D26" s="24">
        <f t="shared" si="0"/>
        <v>0.048541990085052694</v>
      </c>
      <c r="E26" s="29"/>
      <c r="F26" s="56">
        <f t="shared" si="7"/>
        <v>0.0011197499121286254</v>
      </c>
      <c r="G26" s="29"/>
      <c r="H26" s="24">
        <f t="shared" si="1"/>
        <v>0.018100033645882058</v>
      </c>
      <c r="I26" s="29"/>
      <c r="J26" s="52">
        <f t="shared" si="2"/>
        <v>0.01048050972677036</v>
      </c>
      <c r="K26" s="52">
        <f t="shared" si="3"/>
        <v>0.01919846296593082</v>
      </c>
      <c r="L26" s="29"/>
      <c r="M26" s="54">
        <f t="shared" si="4"/>
        <v>0.012237043017482083</v>
      </c>
      <c r="N26" s="54">
        <f t="shared" si="5"/>
        <v>-0.01695896314167357</v>
      </c>
    </row>
    <row r="27" spans="1:14" ht="12.75">
      <c r="A27" s="30">
        <f t="shared" si="8"/>
        <v>5</v>
      </c>
      <c r="B27" s="56">
        <f t="shared" si="6"/>
        <v>0.01903011687217832</v>
      </c>
      <c r="C27" s="24">
        <f t="shared" si="9"/>
        <v>0.007671340500052097</v>
      </c>
      <c r="D27" s="24">
        <f t="shared" si="0"/>
        <v>0.04758528609897633</v>
      </c>
      <c r="E27" s="29"/>
      <c r="F27" s="56">
        <f t="shared" si="7"/>
        <v>0.0018577435186967358</v>
      </c>
      <c r="G27" s="29"/>
      <c r="H27" s="24">
        <f t="shared" si="1"/>
        <v>0.023060450288334526</v>
      </c>
      <c r="I27" s="29"/>
      <c r="J27" s="52">
        <f t="shared" si="2"/>
        <v>0.01793319282874509</v>
      </c>
      <c r="K27" s="52">
        <f t="shared" si="3"/>
        <v>0.024892090158957363</v>
      </c>
      <c r="L27" s="29"/>
      <c r="M27" s="54">
        <f t="shared" si="4"/>
        <v>0.020127040915611547</v>
      </c>
      <c r="N27" s="54">
        <f t="shared" si="5"/>
        <v>-0.02117660312156389</v>
      </c>
    </row>
    <row r="28" spans="1:14" ht="12.75">
      <c r="A28" s="30">
        <f t="shared" si="8"/>
        <v>6</v>
      </c>
      <c r="B28" s="56">
        <f t="shared" si="6"/>
        <v>0.028955712764057156</v>
      </c>
      <c r="C28" s="24">
        <f t="shared" si="9"/>
        <v>0.009925595891878837</v>
      </c>
      <c r="D28" s="24">
        <f t="shared" si="0"/>
        <v>0.0463473215366756</v>
      </c>
      <c r="E28" s="29"/>
      <c r="F28" s="56">
        <f t="shared" si="7"/>
        <v>0.002790767113696392</v>
      </c>
      <c r="G28" s="29"/>
      <c r="H28" s="24">
        <f t="shared" si="1"/>
        <v>0.027951146816117205</v>
      </c>
      <c r="I28" s="29"/>
      <c r="J28" s="52">
        <f t="shared" si="2"/>
        <v>0.027660715716427284</v>
      </c>
      <c r="K28" s="52">
        <f t="shared" si="3"/>
        <v>0.030711898734437856</v>
      </c>
      <c r="L28" s="29"/>
      <c r="M28" s="54">
        <f t="shared" si="4"/>
        <v>0.030250709811687027</v>
      </c>
      <c r="N28" s="54">
        <f t="shared" si="5"/>
        <v>-0.02513036450704507</v>
      </c>
    </row>
    <row r="29" spans="1:14" ht="12.75">
      <c r="A29" s="30">
        <f t="shared" si="8"/>
        <v>7</v>
      </c>
      <c r="B29" s="56">
        <f t="shared" si="6"/>
        <v>0.04121245466100228</v>
      </c>
      <c r="C29" s="24">
        <f t="shared" si="9"/>
        <v>0.012256741896945127</v>
      </c>
      <c r="D29" s="24">
        <f t="shared" si="0"/>
        <v>0.04481841027376016</v>
      </c>
      <c r="E29" s="29"/>
      <c r="F29" s="56">
        <f t="shared" si="7"/>
        <v>0.003908937163702082</v>
      </c>
      <c r="G29" s="29"/>
      <c r="H29" s="24">
        <f t="shared" si="1"/>
        <v>0.03270173028657507</v>
      </c>
      <c r="I29" s="29"/>
      <c r="J29" s="52">
        <f t="shared" si="2"/>
        <v>0.039747305716310584</v>
      </c>
      <c r="K29" s="52">
        <f t="shared" si="3"/>
        <v>0.03657782913000192</v>
      </c>
      <c r="L29" s="29"/>
      <c r="M29" s="54">
        <f t="shared" si="4"/>
        <v>0.04267760360569398</v>
      </c>
      <c r="N29" s="54">
        <f t="shared" si="5"/>
        <v>-0.028759954802597756</v>
      </c>
    </row>
    <row r="30" spans="1:14" ht="12.75">
      <c r="A30" s="30">
        <f t="shared" si="8"/>
        <v>8</v>
      </c>
      <c r="B30" s="56">
        <f t="shared" si="6"/>
        <v>0.05584376961448616</v>
      </c>
      <c r="C30" s="24">
        <f t="shared" si="9"/>
        <v>0.014631314953483875</v>
      </c>
      <c r="D30" s="24">
        <f t="shared" si="0"/>
        <v>0.04299301976932196</v>
      </c>
      <c r="E30" s="29"/>
      <c r="F30" s="56">
        <f t="shared" si="7"/>
        <v>0.00519456113585414</v>
      </c>
      <c r="G30" s="29"/>
      <c r="H30" s="24">
        <f t="shared" si="1"/>
        <v>0.03724621449819131</v>
      </c>
      <c r="I30" s="29"/>
      <c r="J30" s="52">
        <f t="shared" si="2"/>
        <v>0.0542429356481197</v>
      </c>
      <c r="K30" s="52">
        <f t="shared" si="3"/>
        <v>0.04240635798923659</v>
      </c>
      <c r="L30" s="29"/>
      <c r="M30" s="54">
        <f t="shared" si="4"/>
        <v>0.05744460358085261</v>
      </c>
      <c r="N30" s="54">
        <f t="shared" si="5"/>
        <v>-0.032017235717528306</v>
      </c>
    </row>
    <row r="31" spans="1:14" ht="12.75">
      <c r="A31" s="30">
        <f t="shared" si="8"/>
        <v>9</v>
      </c>
      <c r="B31" s="56">
        <f t="shared" si="6"/>
        <v>0.07286296570774868</v>
      </c>
      <c r="C31" s="24">
        <f t="shared" si="9"/>
        <v>0.017019196093262523</v>
      </c>
      <c r="D31" s="24">
        <f t="shared" si="0"/>
        <v>0.04086935931461764</v>
      </c>
      <c r="E31" s="29"/>
      <c r="F31" s="56">
        <f t="shared" si="7"/>
        <v>0.006622670099308797</v>
      </c>
      <c r="G31" s="29"/>
      <c r="H31" s="24">
        <f t="shared" si="1"/>
        <v>0.0415214209320311</v>
      </c>
      <c r="I31" s="29"/>
      <c r="J31" s="52">
        <f t="shared" si="2"/>
        <v>0.07116648420192921</v>
      </c>
      <c r="K31" s="52">
        <f t="shared" si="3"/>
        <v>0.0481094191490394</v>
      </c>
      <c r="L31" s="29"/>
      <c r="M31" s="54">
        <f t="shared" si="4"/>
        <v>0.07455944721356815</v>
      </c>
      <c r="N31" s="54">
        <f t="shared" si="5"/>
        <v>-0.03486407895042181</v>
      </c>
    </row>
    <row r="32" spans="1:14" ht="12.75">
      <c r="A32" s="30">
        <f t="shared" si="8"/>
        <v>10</v>
      </c>
      <c r="B32" s="56">
        <f t="shared" si="6"/>
        <v>0.09225558293863349</v>
      </c>
      <c r="C32" s="24">
        <f t="shared" si="9"/>
        <v>0.019392617230884812</v>
      </c>
      <c r="D32" s="24">
        <f t="shared" si="0"/>
        <v>0.03844909406931783</v>
      </c>
      <c r="E32" s="29"/>
      <c r="F32" s="56">
        <f t="shared" si="7"/>
        <v>0.008161671720944964</v>
      </c>
      <c r="G32" s="29"/>
      <c r="H32" s="24">
        <f t="shared" si="1"/>
        <v>0.045467043465045924</v>
      </c>
      <c r="I32" s="29"/>
      <c r="J32" s="52">
        <f t="shared" si="2"/>
        <v>0.09050784700424389</v>
      </c>
      <c r="K32" s="52">
        <f t="shared" si="3"/>
        <v>0.053595111614442116</v>
      </c>
      <c r="L32" s="29"/>
      <c r="M32" s="54">
        <f t="shared" si="4"/>
        <v>0.0940033188730231</v>
      </c>
      <c r="N32" s="54">
        <f t="shared" si="5"/>
        <v>-0.037271768172552185</v>
      </c>
    </row>
    <row r="33" spans="1:14" ht="12.75">
      <c r="A33" s="30">
        <f t="shared" si="8"/>
        <v>11</v>
      </c>
      <c r="B33" s="56">
        <f t="shared" si="6"/>
        <v>0.11398121750470602</v>
      </c>
      <c r="C33" s="24">
        <f t="shared" si="9"/>
        <v>0.02172563456607253</v>
      </c>
      <c r="D33" s="24">
        <f t="shared" si="0"/>
        <v>0.035737126238574814</v>
      </c>
      <c r="E33" s="29"/>
      <c r="F33" s="56">
        <f t="shared" si="7"/>
        <v>0.009774157007488713</v>
      </c>
      <c r="G33" s="29"/>
      <c r="H33" s="24">
        <f t="shared" si="1"/>
        <v>0.049026636533777604</v>
      </c>
      <c r="I33" s="29"/>
      <c r="J33" s="52">
        <f t="shared" si="2"/>
        <v>0.11222951932268539</v>
      </c>
      <c r="K33" s="52">
        <f t="shared" si="3"/>
        <v>0.05876948988006181</v>
      </c>
      <c r="L33" s="29"/>
      <c r="M33" s="54">
        <f t="shared" si="4"/>
        <v>0.11573291568672665</v>
      </c>
      <c r="N33" s="54">
        <f t="shared" si="5"/>
        <v>-0.03922117586508439</v>
      </c>
    </row>
    <row r="34" spans="1:14" ht="12.75">
      <c r="A34" s="30">
        <f t="shared" si="8"/>
        <v>12</v>
      </c>
      <c r="B34" s="56">
        <f t="shared" si="6"/>
        <v>0.1379750673126135</v>
      </c>
      <c r="C34" s="24">
        <f t="shared" si="9"/>
        <v>0.023993849807907475</v>
      </c>
      <c r="D34" s="24">
        <f t="shared" si="0"/>
        <v>0.03274141196845112</v>
      </c>
      <c r="E34" s="29"/>
      <c r="F34" s="56">
        <f t="shared" si="7"/>
        <v>0.011417866831271321</v>
      </c>
      <c r="G34" s="29"/>
      <c r="H34" s="24">
        <f t="shared" si="1"/>
        <v>0.05214909150424806</v>
      </c>
      <c r="I34" s="29"/>
      <c r="J34" s="52">
        <f t="shared" si="2"/>
        <v>0.1362679374692581</v>
      </c>
      <c r="K34" s="52">
        <f t="shared" si="3"/>
        <v>0.06353900891791753</v>
      </c>
      <c r="L34" s="29"/>
      <c r="M34" s="54">
        <f t="shared" si="4"/>
        <v>0.13968219715596888</v>
      </c>
      <c r="N34" s="54">
        <f t="shared" si="5"/>
        <v>-0.04070327525537489</v>
      </c>
    </row>
    <row r="35" spans="1:14" ht="12.75">
      <c r="A35" s="30">
        <f t="shared" si="8"/>
        <v>13</v>
      </c>
      <c r="B35" s="56">
        <f t="shared" si="6"/>
        <v>0.16414933941057916</v>
      </c>
      <c r="C35" s="24">
        <f t="shared" si="9"/>
        <v>0.026174272097965662</v>
      </c>
      <c r="D35" s="24">
        <f t="shared" si="0"/>
        <v>0.029472795801788132</v>
      </c>
      <c r="E35" s="29"/>
      <c r="F35" s="56">
        <f t="shared" si="7"/>
        <v>0.013046808237441723</v>
      </c>
      <c r="G35" s="29"/>
      <c r="H35" s="24">
        <f t="shared" si="1"/>
        <v>0.05479029257450755</v>
      </c>
      <c r="I35" s="29"/>
      <c r="J35" s="52">
        <f t="shared" si="2"/>
        <v>0.16253475008031254</v>
      </c>
      <c r="K35" s="52">
        <f t="shared" si="3"/>
        <v>0.06781330585865834</v>
      </c>
      <c r="L35" s="29"/>
      <c r="M35" s="54">
        <f t="shared" si="4"/>
        <v>0.16576392874084578</v>
      </c>
      <c r="N35" s="54">
        <f t="shared" si="5"/>
        <v>-0.041719689383774905</v>
      </c>
    </row>
    <row r="36" spans="1:14" ht="12.75">
      <c r="A36" s="30">
        <f t="shared" si="8"/>
        <v>14</v>
      </c>
      <c r="B36" s="56">
        <f t="shared" si="6"/>
        <v>0.19239460294404387</v>
      </c>
      <c r="C36" s="24">
        <f t="shared" si="9"/>
        <v>0.02824526353346471</v>
      </c>
      <c r="D36" s="24">
        <f t="shared" si="0"/>
        <v>0.025944851598747227</v>
      </c>
      <c r="E36" s="29"/>
      <c r="F36" s="56">
        <f t="shared" si="7"/>
        <v>0.01461249988915485</v>
      </c>
      <c r="G36" s="29"/>
      <c r="H36" s="24">
        <f t="shared" si="1"/>
        <v>0.056914710510408</v>
      </c>
      <c r="I36" s="29"/>
      <c r="J36" s="52">
        <f t="shared" si="2"/>
        <v>0.19091812488399812</v>
      </c>
      <c r="K36" s="52">
        <f t="shared" si="3"/>
        <v>0.07150805582300394</v>
      </c>
      <c r="L36" s="29"/>
      <c r="M36" s="54">
        <f t="shared" si="4"/>
        <v>0.19387108100408962</v>
      </c>
      <c r="N36" s="54">
        <f t="shared" si="5"/>
        <v>-0.04228305604469424</v>
      </c>
    </row>
    <row r="37" spans="1:14" ht="12.75">
      <c r="A37" s="30">
        <f t="shared" si="8"/>
        <v>15</v>
      </c>
      <c r="B37" s="56">
        <f t="shared" si="6"/>
        <v>0.22258113860377338</v>
      </c>
      <c r="C37" s="24">
        <f t="shared" si="9"/>
        <v>0.030186535659729508</v>
      </c>
      <c r="D37" s="24">
        <f t="shared" si="0"/>
        <v>0.022173722878766507</v>
      </c>
      <c r="E37" s="29"/>
      <c r="F37" s="56">
        <f t="shared" si="7"/>
        <v>0.016065318452608314</v>
      </c>
      <c r="G37" s="29"/>
      <c r="H37" s="24">
        <f t="shared" si="1"/>
        <v>0.05849674203945509</v>
      </c>
      <c r="I37" s="29"/>
      <c r="J37" s="52">
        <f t="shared" si="2"/>
        <v>0.22128415434481347</v>
      </c>
      <c r="K37" s="52">
        <f t="shared" si="3"/>
        <v>0.07454768041809806</v>
      </c>
      <c r="L37" s="29"/>
      <c r="M37" s="54">
        <f t="shared" si="4"/>
        <v>0.2238781228627333</v>
      </c>
      <c r="N37" s="54">
        <f t="shared" si="5"/>
        <v>-0.04241704351288144</v>
      </c>
    </row>
    <row r="38" spans="1:14" ht="12.75">
      <c r="A38" s="30">
        <f t="shared" si="8"/>
        <v>16</v>
      </c>
      <c r="B38" s="56">
        <f t="shared" si="6"/>
        <v>0.25456031577479016</v>
      </c>
      <c r="C38" s="24">
        <f t="shared" si="9"/>
        <v>0.03197917717101678</v>
      </c>
      <c r="D38" s="24">
        <f t="shared" si="0"/>
        <v>0.018177958033146074</v>
      </c>
      <c r="E38" s="29"/>
      <c r="F38" s="56">
        <f t="shared" si="7"/>
        <v>0.017355912281558902</v>
      </c>
      <c r="G38" s="29"/>
      <c r="H38" s="24">
        <f t="shared" si="1"/>
        <v>0.059521650376311144</v>
      </c>
      <c r="I38" s="29"/>
      <c r="J38" s="52">
        <f t="shared" si="2"/>
        <v>0.25347839329922817</v>
      </c>
      <c r="K38" s="52">
        <f t="shared" si="3"/>
        <v>0.07686772881640092</v>
      </c>
      <c r="L38" s="29"/>
      <c r="M38" s="54">
        <f t="shared" si="4"/>
        <v>0.25564223825035215</v>
      </c>
      <c r="N38" s="54">
        <f t="shared" si="5"/>
        <v>-0.042155904253283104</v>
      </c>
    </row>
    <row r="39" spans="1:14" ht="12.75">
      <c r="A39" s="30">
        <f t="shared" si="8"/>
        <v>17</v>
      </c>
      <c r="B39" s="56">
        <f t="shared" si="6"/>
        <v>0.28816601601643654</v>
      </c>
      <c r="C39" s="24">
        <f t="shared" si="9"/>
        <v>0.033605700241646386</v>
      </c>
      <c r="D39" s="24">
        <f t="shared" si="0"/>
        <v>0.013978337499400157</v>
      </c>
      <c r="E39" s="29"/>
      <c r="F39" s="56">
        <f t="shared" si="7"/>
        <v>0.018436645003295508</v>
      </c>
      <c r="G39" s="29"/>
      <c r="H39" s="24">
        <f t="shared" si="1"/>
        <v>0.05998601286818503</v>
      </c>
      <c r="I39" s="29"/>
      <c r="J39" s="52">
        <f t="shared" si="2"/>
        <v>0.28732753858950927</v>
      </c>
      <c r="K39" s="52">
        <f t="shared" si="3"/>
        <v>0.07841679751582746</v>
      </c>
      <c r="L39" s="29"/>
      <c r="M39" s="54">
        <f t="shared" si="4"/>
        <v>0.2890044934433638</v>
      </c>
      <c r="N39" s="54">
        <f t="shared" si="5"/>
        <v>-0.04154350750923645</v>
      </c>
    </row>
    <row r="40" spans="1:14" ht="12.75">
      <c r="A40" s="30">
        <f t="shared" si="8"/>
        <v>18</v>
      </c>
      <c r="B40" s="56">
        <f t="shared" si="6"/>
        <v>0.32321611314089227</v>
      </c>
      <c r="C40" s="24">
        <f t="shared" si="9"/>
        <v>0.035050097124455726</v>
      </c>
      <c r="D40" s="24">
        <f t="shared" si="0"/>
        <v>0.00959769114726219</v>
      </c>
      <c r="E40" s="29"/>
      <c r="F40" s="56">
        <f t="shared" si="7"/>
        <v>0.019263029339850964</v>
      </c>
      <c r="G40" s="29"/>
      <c r="H40" s="24">
        <f t="shared" si="1"/>
        <v>0.05989763482792493</v>
      </c>
      <c r="I40" s="29"/>
      <c r="J40" s="52">
        <f t="shared" si="2"/>
        <v>0.32264124296721625</v>
      </c>
      <c r="K40" s="52">
        <f t="shared" si="3"/>
        <v>0.07915790543341061</v>
      </c>
      <c r="L40" s="29"/>
      <c r="M40" s="54">
        <f t="shared" si="4"/>
        <v>0.3237909833145683</v>
      </c>
      <c r="N40" s="54">
        <f t="shared" si="5"/>
        <v>-0.04063184675370868</v>
      </c>
    </row>
    <row r="41" spans="1:14" ht="12.75">
      <c r="A41" s="30">
        <f t="shared" si="8"/>
        <v>19</v>
      </c>
      <c r="B41" s="56">
        <f t="shared" si="6"/>
        <v>0.35951401437891956</v>
      </c>
      <c r="C41" s="24">
        <f t="shared" si="9"/>
        <v>0.036297901238027286</v>
      </c>
      <c r="D41" s="24">
        <f t="shared" si="0"/>
        <v>0.005060704999400766</v>
      </c>
      <c r="E41" s="29"/>
      <c r="F41" s="56">
        <f t="shared" si="7"/>
        <v>0.01979511062103621</v>
      </c>
      <c r="G41" s="29"/>
      <c r="H41" s="24">
        <f t="shared" si="1"/>
        <v>0.05927494147448634</v>
      </c>
      <c r="I41" s="29"/>
      <c r="J41" s="52">
        <f t="shared" si="2"/>
        <v>0.3592140426666803</v>
      </c>
      <c r="K41" s="52">
        <f t="shared" si="3"/>
        <v>0.07906929305973068</v>
      </c>
      <c r="L41" s="29"/>
      <c r="M41" s="54">
        <f t="shared" si="4"/>
        <v>0.35981398609115883</v>
      </c>
      <c r="N41" s="54">
        <f t="shared" si="5"/>
        <v>-0.039479071817658265</v>
      </c>
    </row>
    <row r="42" spans="1:14" ht="12.75">
      <c r="A42" s="30">
        <f t="shared" si="8"/>
        <v>20</v>
      </c>
      <c r="B42" s="56">
        <f t="shared" si="6"/>
        <v>0.3968502629920499</v>
      </c>
      <c r="C42" s="24">
        <f t="shared" si="9"/>
        <v>0.03733624861313034</v>
      </c>
      <c r="D42" s="24">
        <f t="shared" si="0"/>
        <v>0.00039371710564998694</v>
      </c>
      <c r="E42" s="29"/>
      <c r="F42" s="56">
        <f t="shared" si="7"/>
        <v>0.019998759894597592</v>
      </c>
      <c r="G42" s="29"/>
      <c r="H42" s="24">
        <f t="shared" si="1"/>
        <v>0.05814590863269608</v>
      </c>
      <c r="I42" s="29"/>
      <c r="J42" s="52">
        <f t="shared" si="2"/>
        <v>0.3968273699537891</v>
      </c>
      <c r="K42" s="52">
        <f t="shared" si="3"/>
        <v>0.07814466402060323</v>
      </c>
      <c r="L42" s="29"/>
      <c r="M42" s="54">
        <f t="shared" si="4"/>
        <v>0.3968731560303107</v>
      </c>
      <c r="N42" s="54">
        <f t="shared" si="5"/>
        <v>-0.03814714423140805</v>
      </c>
    </row>
    <row r="43" spans="1:14" ht="12.75">
      <c r="A43" s="30">
        <f t="shared" si="8"/>
        <v>21</v>
      </c>
      <c r="B43" s="56">
        <f t="shared" si="6"/>
        <v>0.4350041996532577</v>
      </c>
      <c r="C43" s="24">
        <f t="shared" si="9"/>
        <v>0.03815393666120781</v>
      </c>
      <c r="D43" s="24">
        <f t="shared" si="0"/>
        <v>-0.004375497033517303</v>
      </c>
      <c r="E43" s="29"/>
      <c r="F43" s="56">
        <f t="shared" si="7"/>
        <v>0.019931928111479716</v>
      </c>
      <c r="G43" s="29"/>
      <c r="H43" s="24">
        <f t="shared" si="1"/>
        <v>0.05654663339267078</v>
      </c>
      <c r="I43" s="29"/>
      <c r="J43" s="52">
        <f t="shared" si="2"/>
        <v>0.43525161849044974</v>
      </c>
      <c r="K43" s="52">
        <f t="shared" si="3"/>
        <v>0.07647802021309283</v>
      </c>
      <c r="L43" s="29"/>
      <c r="M43" s="54">
        <f t="shared" si="4"/>
        <v>0.43475678081606567</v>
      </c>
      <c r="N43" s="54">
        <f t="shared" si="5"/>
        <v>-0.0366141639901334</v>
      </c>
    </row>
    <row r="44" spans="1:14" ht="12.75">
      <c r="A44" s="30">
        <f t="shared" si="8"/>
        <v>22</v>
      </c>
      <c r="B44" s="56">
        <f t="shared" si="6"/>
        <v>0.4737456776315701</v>
      </c>
      <c r="C44" s="24">
        <f t="shared" si="9"/>
        <v>0.0387414779783124</v>
      </c>
      <c r="D44" s="24">
        <f t="shared" si="0"/>
        <v>-0.009217948610269372</v>
      </c>
      <c r="E44" s="29"/>
      <c r="F44" s="56">
        <f t="shared" si="7"/>
        <v>0.01969786527948114</v>
      </c>
      <c r="G44" s="29"/>
      <c r="H44" s="24">
        <f t="shared" si="1"/>
        <v>0.05451967474814602</v>
      </c>
      <c r="I44" s="29"/>
      <c r="J44" s="52">
        <f t="shared" si="2"/>
        <v>0.4742482300745481</v>
      </c>
      <c r="K44" s="52">
        <f t="shared" si="3"/>
        <v>0.07421522375992926</v>
      </c>
      <c r="L44" s="29"/>
      <c r="M44" s="54">
        <f t="shared" si="4"/>
        <v>0.47324312518859213</v>
      </c>
      <c r="N44" s="54">
        <f t="shared" si="5"/>
        <v>-0.03481949320096697</v>
      </c>
    </row>
    <row r="45" spans="1:14" ht="12.75">
      <c r="A45" s="30">
        <f t="shared" si="8"/>
        <v>23</v>
      </c>
      <c r="B45" s="56">
        <f t="shared" si="6"/>
        <v>0.5128368250644195</v>
      </c>
      <c r="C45" s="24">
        <f t="shared" si="9"/>
        <v>0.039091147432849416</v>
      </c>
      <c r="D45" s="24">
        <f t="shared" si="0"/>
        <v>-0.014103667922232627</v>
      </c>
      <c r="E45" s="29"/>
      <c r="F45" s="56">
        <f t="shared" si="7"/>
        <v>0.019292658383854532</v>
      </c>
      <c r="G45" s="29"/>
      <c r="H45" s="24">
        <f t="shared" si="1"/>
        <v>0.05211230881302082</v>
      </c>
      <c r="I45" s="29"/>
      <c r="J45" s="52">
        <f t="shared" si="2"/>
        <v>0.5135717753967629</v>
      </c>
      <c r="K45" s="52">
        <f t="shared" si="3"/>
        <v>0.07139978436325044</v>
      </c>
      <c r="L45" s="29"/>
      <c r="M45" s="54">
        <f t="shared" si="4"/>
        <v>0.5121018747320761</v>
      </c>
      <c r="N45" s="54">
        <f t="shared" si="5"/>
        <v>-0.03281446759554138</v>
      </c>
    </row>
    <row r="46" spans="1:14" ht="12.75">
      <c r="A46" s="30">
        <f t="shared" si="8"/>
        <v>24</v>
      </c>
      <c r="B46" s="56">
        <f t="shared" si="6"/>
        <v>0.5520338462454734</v>
      </c>
      <c r="C46" s="24">
        <f t="shared" si="9"/>
        <v>0.03919702118105384</v>
      </c>
      <c r="D46" s="24">
        <f t="shared" si="0"/>
        <v>-0.019001943415342434</v>
      </c>
      <c r="E46" s="29"/>
      <c r="F46" s="56">
        <f t="shared" si="7"/>
        <v>0.018715872755322657</v>
      </c>
      <c r="G46" s="29"/>
      <c r="H46" s="24">
        <f t="shared" si="1"/>
        <v>0.04937484243344746</v>
      </c>
      <c r="I46" s="29"/>
      <c r="J46" s="52">
        <f t="shared" si="2"/>
        <v>0.5529720077475586</v>
      </c>
      <c r="K46" s="52">
        <f t="shared" si="3"/>
        <v>0.06808180147467087</v>
      </c>
      <c r="L46" s="29"/>
      <c r="M46" s="54">
        <f t="shared" si="4"/>
        <v>0.5510956847433881</v>
      </c>
      <c r="N46" s="54">
        <f t="shared" si="5"/>
        <v>-0.03065005596402556</v>
      </c>
    </row>
    <row r="47" spans="1:14" ht="12.75">
      <c r="A47" s="30">
        <f t="shared" si="8"/>
        <v>25</v>
      </c>
      <c r="B47" s="56">
        <f t="shared" si="6"/>
        <v>0.5910888528031698</v>
      </c>
      <c r="C47" s="24">
        <f t="shared" si="9"/>
        <v>0.03905500655769645</v>
      </c>
      <c r="D47" s="24">
        <f t="shared" si="0"/>
        <v>-0.023881565446627073</v>
      </c>
      <c r="E47" s="29"/>
      <c r="F47" s="56">
        <f t="shared" si="7"/>
        <v>0.017971391685242696</v>
      </c>
      <c r="G47" s="29"/>
      <c r="H47" s="24">
        <f t="shared" si="1"/>
        <v>0.046359113302939486</v>
      </c>
      <c r="I47" s="29"/>
      <c r="J47" s="52">
        <f t="shared" si="2"/>
        <v>0.5921958757666451</v>
      </c>
      <c r="K47" s="52">
        <f t="shared" si="3"/>
        <v>0.06431728563921794</v>
      </c>
      <c r="L47" s="29"/>
      <c r="M47" s="54">
        <f t="shared" si="4"/>
        <v>0.5899818298396945</v>
      </c>
      <c r="N47" s="54">
        <f t="shared" si="5"/>
        <v>-0.02837450226873255</v>
      </c>
    </row>
    <row r="48" spans="1:14" ht="12.75">
      <c r="A48" s="30">
        <f t="shared" si="8"/>
        <v>26</v>
      </c>
      <c r="B48" s="56">
        <f t="shared" si="6"/>
        <v>0.6297517148342785</v>
      </c>
      <c r="C48" s="24">
        <f t="shared" si="9"/>
        <v>0.03866286203110869</v>
      </c>
      <c r="D48" s="24">
        <f t="shared" si="0"/>
        <v>-0.028711072660518623</v>
      </c>
      <c r="E48" s="29"/>
      <c r="F48" s="56">
        <f t="shared" si="7"/>
        <v>0.017067452751706017</v>
      </c>
      <c r="G48" s="29"/>
      <c r="H48" s="24">
        <f t="shared" si="1"/>
        <v>0.04311727602810259</v>
      </c>
      <c r="I48" s="29"/>
      <c r="J48" s="52">
        <f t="shared" si="2"/>
        <v>0.6309894880081842</v>
      </c>
      <c r="K48" s="52">
        <f t="shared" si="3"/>
        <v>0.06016695866132811</v>
      </c>
      <c r="L48" s="29"/>
      <c r="M48" s="54">
        <f t="shared" si="4"/>
        <v>0.6285139416603728</v>
      </c>
      <c r="N48" s="54">
        <f t="shared" si="5"/>
        <v>-0.02603205315791608</v>
      </c>
    </row>
    <row r="49" spans="1:14" ht="12.75">
      <c r="A49" s="30">
        <f t="shared" si="8"/>
        <v>27</v>
      </c>
      <c r="B49" s="56">
        <f t="shared" si="6"/>
        <v>0.6677719214449596</v>
      </c>
      <c r="C49" s="24">
        <f t="shared" si="9"/>
        <v>0.03802020661068106</v>
      </c>
      <c r="D49" s="24">
        <f t="shared" si="0"/>
        <v>-0.033458998752594955</v>
      </c>
      <c r="E49" s="29"/>
      <c r="F49" s="56">
        <f t="shared" si="7"/>
        <v>0.016016566560315245</v>
      </c>
      <c r="G49" s="29"/>
      <c r="H49" s="24">
        <f t="shared" si="1"/>
        <v>0.03970093531289244</v>
      </c>
      <c r="I49" s="29"/>
      <c r="J49" s="52">
        <f t="shared" si="2"/>
        <v>0.6691000271542934</v>
      </c>
      <c r="K49" s="52">
        <f t="shared" si="3"/>
        <v>0.055695281256526175</v>
      </c>
      <c r="L49" s="29"/>
      <c r="M49" s="54">
        <f t="shared" si="4"/>
        <v>0.6664438157356257</v>
      </c>
      <c r="N49" s="54">
        <f t="shared" si="5"/>
        <v>-0.02366214813589568</v>
      </c>
    </row>
    <row r="50" spans="1:14" ht="12.75">
      <c r="A50" s="30">
        <f t="shared" si="8"/>
        <v>28</v>
      </c>
      <c r="B50" s="56">
        <f t="shared" si="6"/>
        <v>0.7049004397091858</v>
      </c>
      <c r="C50" s="24">
        <f t="shared" si="9"/>
        <v>0.03712851826422625</v>
      </c>
      <c r="D50" s="24">
        <f t="shared" si="0"/>
        <v>-0.038094117352183446</v>
      </c>
      <c r="E50" s="29"/>
      <c r="F50" s="56">
        <f t="shared" si="7"/>
        <v>0.014835317881396953</v>
      </c>
      <c r="G50" s="29"/>
      <c r="H50" s="24">
        <f t="shared" si="1"/>
        <v>0.03616064386589914</v>
      </c>
      <c r="I50" s="29"/>
      <c r="J50" s="52">
        <f t="shared" si="2"/>
        <v>0.7062776143798697</v>
      </c>
      <c r="K50" s="52">
        <f t="shared" si="3"/>
        <v>0.05096972744794191</v>
      </c>
      <c r="L50" s="29"/>
      <c r="M50" s="54">
        <f t="shared" si="4"/>
        <v>0.7035232650385019</v>
      </c>
      <c r="N50" s="54">
        <f t="shared" si="5"/>
        <v>-0.02129909168514801</v>
      </c>
    </row>
    <row r="51" spans="1:14" ht="12.75">
      <c r="A51" s="30">
        <f t="shared" si="8"/>
        <v>29</v>
      </c>
      <c r="B51" s="56">
        <f t="shared" si="6"/>
        <v>0.7408915607597191</v>
      </c>
      <c r="C51" s="24">
        <f t="shared" si="9"/>
        <v>0.03599112105053326</v>
      </c>
      <c r="D51" s="24">
        <f t="shared" si="0"/>
        <v>-0.04258568278798229</v>
      </c>
      <c r="E51" s="29"/>
      <c r="F51" s="56">
        <f t="shared" si="7"/>
        <v>0.013544052433489046</v>
      </c>
      <c r="G51" s="29"/>
      <c r="H51" s="24">
        <f t="shared" si="1"/>
        <v>0.03254573866728842</v>
      </c>
      <c r="I51" s="29"/>
      <c r="J51" s="52">
        <f t="shared" si="2"/>
        <v>0.742277124378151</v>
      </c>
      <c r="K51" s="52">
        <f t="shared" si="3"/>
        <v>0.046060284054922525</v>
      </c>
      <c r="L51" s="29"/>
      <c r="M51" s="54">
        <f t="shared" si="4"/>
        <v>0.7395059971412872</v>
      </c>
      <c r="N51" s="54">
        <f t="shared" si="5"/>
        <v>-0.018972179187944437</v>
      </c>
    </row>
    <row r="52" spans="1:14" ht="12.75">
      <c r="A52" s="30">
        <f t="shared" si="8"/>
        <v>30</v>
      </c>
      <c r="B52" s="56">
        <f t="shared" si="6"/>
        <v>0.7755047215643662</v>
      </c>
      <c r="C52" s="24">
        <f t="shared" si="9"/>
        <v>0.03461316080464716</v>
      </c>
      <c r="D52" s="24">
        <f t="shared" si="0"/>
        <v>-0.04690366460368227</v>
      </c>
      <c r="E52" s="29"/>
      <c r="F52" s="56">
        <f t="shared" si="7"/>
        <v>0.012166455782381545</v>
      </c>
      <c r="G52" s="29"/>
      <c r="H52" s="24">
        <f t="shared" si="1"/>
        <v>0.028904449753644108</v>
      </c>
      <c r="I52" s="29"/>
      <c r="J52" s="52">
        <f t="shared" si="2"/>
        <v>0.7768599491472643</v>
      </c>
      <c r="K52" s="52">
        <f t="shared" si="3"/>
        <v>0.04103911713805655</v>
      </c>
      <c r="L52" s="29"/>
      <c r="M52" s="54">
        <f t="shared" si="4"/>
        <v>0.7741494939814682</v>
      </c>
      <c r="N52" s="54">
        <f t="shared" si="5"/>
        <v>-0.016706205573293463</v>
      </c>
    </row>
    <row r="53" spans="1:14" ht="12.75">
      <c r="A53" s="30">
        <f t="shared" si="8"/>
        <v>31</v>
      </c>
      <c r="B53" s="56">
        <f t="shared" si="6"/>
        <v>0.8085062908981222</v>
      </c>
      <c r="C53" s="24">
        <f t="shared" si="9"/>
        <v>0.033001569333755976</v>
      </c>
      <c r="D53" s="24">
        <f t="shared" si="0"/>
        <v>-0.051018973855290646</v>
      </c>
      <c r="E53" s="29"/>
      <c r="F53" s="56">
        <f t="shared" si="7"/>
        <v>0.010729033905369927</v>
      </c>
      <c r="G53" s="29"/>
      <c r="H53" s="24">
        <f t="shared" si="1"/>
        <v>0.0252841850629056</v>
      </c>
      <c r="I53" s="29"/>
      <c r="J53" s="52">
        <f t="shared" si="2"/>
        <v>0.8097957045280896</v>
      </c>
      <c r="K53" s="52">
        <f t="shared" si="3"/>
        <v>0.03598031955157244</v>
      </c>
      <c r="L53" s="29"/>
      <c r="M53" s="54">
        <f t="shared" si="4"/>
        <v>0.8072168772681548</v>
      </c>
      <c r="N53" s="54">
        <f t="shared" si="5"/>
        <v>-0.014522251740832586</v>
      </c>
    </row>
    <row r="54" spans="1:14" ht="12.75">
      <c r="A54" s="30">
        <f t="shared" si="8"/>
        <v>32</v>
      </c>
      <c r="B54" s="56">
        <f t="shared" si="6"/>
        <v>0.8396713080906508</v>
      </c>
      <c r="C54" s="24">
        <f t="shared" si="9"/>
        <v>0.03116501719252862</v>
      </c>
      <c r="D54" s="24">
        <f t="shared" si="0"/>
        <v>-0.05490367943742415</v>
      </c>
      <c r="E54" s="29"/>
      <c r="F54" s="56">
        <f t="shared" si="7"/>
        <v>0.009260507824547558</v>
      </c>
      <c r="G54" s="29"/>
      <c r="H54" s="24">
        <f t="shared" si="1"/>
        <v>0.021731876496061907</v>
      </c>
      <c r="I54" s="29"/>
      <c r="J54" s="52">
        <f t="shared" si="2"/>
        <v>0.8408638687153454</v>
      </c>
      <c r="K54" s="52">
        <f t="shared" si="3"/>
        <v>0.030959638111186148</v>
      </c>
      <c r="L54" s="29"/>
      <c r="M54" s="54">
        <f t="shared" si="4"/>
        <v>0.8384787474659563</v>
      </c>
      <c r="N54" s="54">
        <f t="shared" si="5"/>
        <v>-0.012438622462091034</v>
      </c>
    </row>
    <row r="55" spans="1:14" ht="12.75">
      <c r="A55" s="30">
        <f t="shared" si="8"/>
        <v>33</v>
      </c>
      <c r="B55" s="56">
        <f t="shared" si="6"/>
        <v>0.8687851633006602</v>
      </c>
      <c r="C55" s="24">
        <f t="shared" si="9"/>
        <v>0.02911385521000942</v>
      </c>
      <c r="D55" s="24">
        <f t="shared" si="0"/>
        <v>-0.05853121293894015</v>
      </c>
      <c r="E55" s="29"/>
      <c r="F55" s="56">
        <f t="shared" si="7"/>
        <v>0.007791137259398519</v>
      </c>
      <c r="G55" s="29"/>
      <c r="H55" s="24">
        <f t="shared" si="1"/>
        <v>0.018294268183781662</v>
      </c>
      <c r="I55" s="29"/>
      <c r="J55" s="52">
        <f t="shared" si="2"/>
        <v>0.8698553377107013</v>
      </c>
      <c r="K55" s="52">
        <f t="shared" si="3"/>
        <v>0.026054077195570333</v>
      </c>
      <c r="L55" s="29"/>
      <c r="M55" s="54">
        <f t="shared" si="4"/>
        <v>0.8677149888906192</v>
      </c>
      <c r="N55" s="54">
        <f t="shared" si="5"/>
        <v>-0.010471802676773292</v>
      </c>
    </row>
    <row r="56" spans="1:14" ht="12.75">
      <c r="A56" s="30">
        <f t="shared" si="8"/>
        <v>34</v>
      </c>
      <c r="B56" s="56">
        <f t="shared" si="6"/>
        <v>0.8956452083374846</v>
      </c>
      <c r="C56" s="24">
        <f t="shared" si="9"/>
        <v>0.026860045036824376</v>
      </c>
      <c r="D56" s="24">
        <f t="shared" si="0"/>
        <v>-0.061876560804102095</v>
      </c>
      <c r="E56" s="29"/>
      <c r="F56" s="56">
        <f t="shared" si="7"/>
        <v>0.006351990414005083</v>
      </c>
      <c r="G56" s="29"/>
      <c r="H56" s="24">
        <f t="shared" si="1"/>
        <v>0.015018038372488059</v>
      </c>
      <c r="I56" s="29"/>
      <c r="J56" s="52">
        <f t="shared" si="2"/>
        <v>0.8965738800349397</v>
      </c>
      <c r="K56" s="52">
        <f t="shared" si="3"/>
        <v>0.021341288110557438</v>
      </c>
      <c r="L56" s="29"/>
      <c r="M56" s="54">
        <f t="shared" si="4"/>
        <v>0.8947165366400296</v>
      </c>
      <c r="N56" s="54">
        <f t="shared" si="5"/>
        <v>-0.008637307282547274</v>
      </c>
    </row>
    <row r="57" spans="1:14" ht="12.75">
      <c r="A57" s="30">
        <f t="shared" si="8"/>
        <v>35</v>
      </c>
      <c r="B57" s="56">
        <f t="shared" si="6"/>
        <v>0.9200622874096017</v>
      </c>
      <c r="C57" s="24">
        <f t="shared" si="9"/>
        <v>0.0244170790721171</v>
      </c>
      <c r="D57" s="24">
        <f t="shared" si="0"/>
        <v>-0.06491644285858697</v>
      </c>
      <c r="E57" s="29"/>
      <c r="F57" s="56">
        <f t="shared" si="7"/>
        <v>0.004974178734127379</v>
      </c>
      <c r="G57" s="29"/>
      <c r="H57" s="24">
        <f t="shared" si="1"/>
        <v>0.011949670084435956</v>
      </c>
      <c r="I57" s="29"/>
      <c r="J57" s="52">
        <f t="shared" si="2"/>
        <v>0.9208374727598285</v>
      </c>
      <c r="K57" s="52">
        <f t="shared" si="3"/>
        <v>0.01689867884103573</v>
      </c>
      <c r="L57" s="29"/>
      <c r="M57" s="54">
        <f t="shared" si="4"/>
        <v>0.9192871020593749</v>
      </c>
      <c r="N57" s="54">
        <f t="shared" si="5"/>
        <v>-0.0069503213727809725</v>
      </c>
    </row>
    <row r="58" spans="1:14" ht="12.75">
      <c r="A58" s="30">
        <f t="shared" si="8"/>
        <v>36</v>
      </c>
      <c r="B58" s="56">
        <f t="shared" si="6"/>
        <v>0.9418621776243058</v>
      </c>
      <c r="C58" s="24">
        <f t="shared" si="9"/>
        <v>0.021799890214704076</v>
      </c>
      <c r="D58" s="24">
        <f t="shared" si="0"/>
        <v>-0.06762947653489057</v>
      </c>
      <c r="E58" s="29"/>
      <c r="F58" s="56">
        <f t="shared" si="7"/>
        <v>0.003688076692235846</v>
      </c>
      <c r="G58" s="29"/>
      <c r="H58" s="24">
        <f t="shared" si="1"/>
        <v>0.009135019955007864</v>
      </c>
      <c r="I58" s="29"/>
      <c r="J58" s="52">
        <f t="shared" si="2"/>
        <v>0.9424795034088738</v>
      </c>
      <c r="K58" s="52">
        <f t="shared" si="3"/>
        <v>0.01280221397747022</v>
      </c>
      <c r="L58" s="29"/>
      <c r="M58" s="54">
        <f t="shared" si="4"/>
        <v>0.9412448518397378</v>
      </c>
      <c r="N58" s="54">
        <f t="shared" si="5"/>
        <v>-0.005426060592998526</v>
      </c>
    </row>
    <row r="59" spans="1:14" ht="12.75">
      <c r="A59" s="30">
        <f t="shared" si="8"/>
        <v>37</v>
      </c>
      <c r="B59" s="56">
        <f t="shared" si="6"/>
        <v>0.9608869295868754</v>
      </c>
      <c r="C59" s="24">
        <f t="shared" si="9"/>
        <v>0.019024751962569586</v>
      </c>
      <c r="D59" s="24">
        <f t="shared" si="0"/>
        <v>-0.06999632638508493</v>
      </c>
      <c r="E59" s="29"/>
      <c r="F59" s="56">
        <f t="shared" si="7"/>
        <v>0.002522547345478194</v>
      </c>
      <c r="G59" s="29"/>
      <c r="H59" s="24">
        <f t="shared" si="1"/>
        <v>0.006618575385676761</v>
      </c>
      <c r="I59" s="29"/>
      <c r="J59" s="52">
        <f t="shared" si="2"/>
        <v>0.9613498273401125</v>
      </c>
      <c r="K59" s="52">
        <f t="shared" si="3"/>
        <v>0.009124915542264425</v>
      </c>
      <c r="L59" s="29"/>
      <c r="M59" s="54">
        <f t="shared" si="4"/>
        <v>0.9604240318336382</v>
      </c>
      <c r="N59" s="54">
        <f t="shared" si="5"/>
        <v>-0.004079820851308036</v>
      </c>
    </row>
    <row r="60" spans="1:14" ht="12.75">
      <c r="A60" s="30">
        <f t="shared" si="8"/>
        <v>38</v>
      </c>
      <c r="B60" s="56">
        <f t="shared" si="6"/>
        <v>0.9769960990459121</v>
      </c>
      <c r="C60" s="24">
        <f t="shared" si="9"/>
        <v>0.016109169459036732</v>
      </c>
      <c r="D60" s="24">
        <f t="shared" si="0"/>
        <v>-0.07199983868838324</v>
      </c>
      <c r="E60" s="29"/>
      <c r="F60" s="56">
        <f t="shared" si="7"/>
        <v>0.0015041945380999987</v>
      </c>
      <c r="G60" s="29"/>
      <c r="H60" s="24">
        <f t="shared" si="1"/>
        <v>0.004442432581377475</v>
      </c>
      <c r="I60" s="29"/>
      <c r="J60" s="52">
        <f t="shared" si="2"/>
        <v>0.9773156771937883</v>
      </c>
      <c r="K60" s="52">
        <f t="shared" si="3"/>
        <v>0.005935117359306003</v>
      </c>
      <c r="L60" s="29"/>
      <c r="M60" s="54">
        <f t="shared" si="4"/>
        <v>0.9766765208980359</v>
      </c>
      <c r="N60" s="54">
        <f t="shared" si="5"/>
        <v>-0.0029267282831060048</v>
      </c>
    </row>
    <row r="61" spans="1:14" ht="12.75">
      <c r="A61" s="30">
        <f t="shared" si="8"/>
        <v>39</v>
      </c>
      <c r="B61" s="56">
        <f t="shared" si="6"/>
        <v>0.9900678611986189</v>
      </c>
      <c r="C61" s="24">
        <f t="shared" si="9"/>
        <v>0.013071762152706778</v>
      </c>
      <c r="D61" s="24">
        <f t="shared" si="0"/>
        <v>-0.07362516113708839</v>
      </c>
      <c r="E61" s="29"/>
      <c r="F61" s="56">
        <f t="shared" si="7"/>
        <v>0.0006566621766937453</v>
      </c>
      <c r="G61" s="29"/>
      <c r="H61" s="24">
        <f t="shared" si="1"/>
        <v>0.002645067144941274</v>
      </c>
      <c r="I61" s="29"/>
      <c r="J61" s="52">
        <f t="shared" si="2"/>
        <v>0.9902624288012096</v>
      </c>
      <c r="K61" s="52">
        <f t="shared" si="3"/>
        <v>0.0032945635488587197</v>
      </c>
      <c r="L61" s="29"/>
      <c r="M61" s="54">
        <f t="shared" si="4"/>
        <v>0.9898732935960282</v>
      </c>
      <c r="N61" s="54">
        <f t="shared" si="5"/>
        <v>-0.001981239195471229</v>
      </c>
    </row>
    <row r="62" spans="1:14" ht="12.75">
      <c r="A62" s="30">
        <f t="shared" si="8"/>
        <v>40</v>
      </c>
      <c r="B62" s="56">
        <f t="shared" si="6"/>
        <v>1</v>
      </c>
      <c r="C62" s="24">
        <f t="shared" si="9"/>
        <v>0.009932138801381107</v>
      </c>
      <c r="D62" s="24">
        <f t="shared" si="0"/>
        <v>-0.07485984771076684</v>
      </c>
      <c r="E62" s="29"/>
      <c r="F62" s="56">
        <f t="shared" si="7"/>
        <v>0</v>
      </c>
      <c r="G62" s="29"/>
      <c r="H62" s="24">
        <f t="shared" si="1"/>
        <v>0.0012599999999999777</v>
      </c>
      <c r="I62" s="29"/>
      <c r="J62" s="52">
        <f t="shared" si="2"/>
        <v>1.0000942353347844</v>
      </c>
      <c r="K62" s="52">
        <f t="shared" si="3"/>
        <v>0.0012564711304594329</v>
      </c>
      <c r="L62" s="29"/>
      <c r="M62" s="54">
        <f t="shared" si="4"/>
        <v>0.9999057646652155</v>
      </c>
      <c r="N62" s="54">
        <f t="shared" si="5"/>
        <v>-0.0012564711304594329</v>
      </c>
    </row>
  </sheetData>
  <sheetProtection/>
  <mergeCells count="5">
    <mergeCell ref="A19:B19"/>
    <mergeCell ref="A3:E3"/>
    <mergeCell ref="E9:F9"/>
    <mergeCell ref="E10:F10"/>
    <mergeCell ref="A1:O1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50.00390625" style="0" customWidth="1"/>
    <col min="2" max="2" width="8.28125" style="0" customWidth="1"/>
    <col min="3" max="3" width="6.28125" style="1" customWidth="1"/>
    <col min="4" max="4" width="8.28125" style="0" customWidth="1"/>
    <col min="5" max="5" width="8.421875" style="1" customWidth="1"/>
    <col min="7" max="7" width="4.57421875" style="1" bestFit="1" customWidth="1"/>
    <col min="8" max="12" width="8.7109375" style="0" customWidth="1"/>
  </cols>
  <sheetData>
    <row r="1" spans="1:12" s="58" customFormat="1" ht="15.75" customHeight="1">
      <c r="A1" s="76" t="s">
        <v>55</v>
      </c>
      <c r="B1" s="77"/>
      <c r="C1" s="77"/>
      <c r="D1" s="77"/>
      <c r="E1" s="78"/>
      <c r="G1" s="3" t="s">
        <v>43</v>
      </c>
      <c r="H1" s="3" t="s">
        <v>44</v>
      </c>
      <c r="I1" s="3" t="s">
        <v>45</v>
      </c>
      <c r="J1" s="3" t="s">
        <v>46</v>
      </c>
      <c r="K1" s="3" t="s">
        <v>47</v>
      </c>
      <c r="L1" s="3" t="s">
        <v>48</v>
      </c>
    </row>
    <row r="2" spans="1:12" s="58" customFormat="1" ht="12.75" customHeight="1">
      <c r="A2" s="79"/>
      <c r="B2" s="80"/>
      <c r="C2" s="80"/>
      <c r="D2" s="80"/>
      <c r="E2" s="81"/>
      <c r="G2" s="59">
        <v>-2</v>
      </c>
      <c r="H2" s="60">
        <v>0.05</v>
      </c>
      <c r="I2" s="60">
        <v>0.07</v>
      </c>
      <c r="J2" s="61">
        <f aca="true" t="shared" si="0" ref="J2:K11">2*H2/($D$9*$D$8^2*$B$11)</f>
        <v>0.011438702851096686</v>
      </c>
      <c r="K2" s="62">
        <f t="shared" si="0"/>
        <v>0.016014183991535362</v>
      </c>
      <c r="L2" s="63">
        <f aca="true" t="shared" si="1" ref="L2:L11">J2/K2</f>
        <v>0.7142857142857142</v>
      </c>
    </row>
    <row r="3" spans="1:12" s="58" customFormat="1" ht="12.75" customHeight="1">
      <c r="A3" s="79"/>
      <c r="B3" s="80"/>
      <c r="C3" s="80"/>
      <c r="D3" s="80"/>
      <c r="E3" s="81"/>
      <c r="G3" s="59">
        <v>0</v>
      </c>
      <c r="H3" s="60">
        <v>0.79</v>
      </c>
      <c r="I3" s="60">
        <v>0.08</v>
      </c>
      <c r="J3" s="61">
        <f t="shared" si="0"/>
        <v>0.18073150504732763</v>
      </c>
      <c r="K3" s="62">
        <f t="shared" si="0"/>
        <v>0.018301924561754696</v>
      </c>
      <c r="L3" s="63">
        <f t="shared" si="1"/>
        <v>9.875</v>
      </c>
    </row>
    <row r="4" spans="1:12" s="58" customFormat="1" ht="12.75" customHeight="1" thickBot="1">
      <c r="A4" s="82"/>
      <c r="B4" s="83"/>
      <c r="C4" s="83"/>
      <c r="D4" s="83"/>
      <c r="E4" s="84"/>
      <c r="G4" s="59">
        <v>2</v>
      </c>
      <c r="H4" s="60">
        <v>1.55</v>
      </c>
      <c r="I4" s="60">
        <v>0.102</v>
      </c>
      <c r="J4" s="61">
        <f t="shared" si="0"/>
        <v>0.35459978838399725</v>
      </c>
      <c r="K4" s="62">
        <f t="shared" si="0"/>
        <v>0.023334953816237236</v>
      </c>
      <c r="L4" s="63">
        <f t="shared" si="1"/>
        <v>15.19607843137255</v>
      </c>
    </row>
    <row r="5" spans="3:12" s="58" customFormat="1" ht="12.75">
      <c r="C5" s="64"/>
      <c r="E5" s="64"/>
      <c r="G5" s="59">
        <v>4</v>
      </c>
      <c r="H5" s="60">
        <v>2.36</v>
      </c>
      <c r="I5" s="60">
        <v>0.154</v>
      </c>
      <c r="J5" s="61">
        <f t="shared" si="0"/>
        <v>0.5399067745717635</v>
      </c>
      <c r="K5" s="62">
        <f t="shared" si="0"/>
        <v>0.03523120478137779</v>
      </c>
      <c r="L5" s="63">
        <f t="shared" si="1"/>
        <v>15.324675324675324</v>
      </c>
    </row>
    <row r="6" spans="1:12" s="58" customFormat="1" ht="12.75">
      <c r="A6" s="65" t="s">
        <v>53</v>
      </c>
      <c r="B6" s="66">
        <v>22</v>
      </c>
      <c r="C6" s="67" t="s">
        <v>39</v>
      </c>
      <c r="D6" s="68">
        <f>B6/100</f>
        <v>0.22</v>
      </c>
      <c r="E6" s="67" t="s">
        <v>27</v>
      </c>
      <c r="G6" s="59">
        <v>6</v>
      </c>
      <c r="H6" s="60">
        <v>3.13</v>
      </c>
      <c r="I6" s="60">
        <v>0.228</v>
      </c>
      <c r="J6" s="61">
        <f t="shared" si="0"/>
        <v>0.7160627984786525</v>
      </c>
      <c r="K6" s="62">
        <f t="shared" si="0"/>
        <v>0.052160485001000886</v>
      </c>
      <c r="L6" s="63">
        <f t="shared" si="1"/>
        <v>13.728070175438596</v>
      </c>
    </row>
    <row r="7" spans="1:12" s="58" customFormat="1" ht="12.75">
      <c r="A7" s="65" t="s">
        <v>54</v>
      </c>
      <c r="B7" s="66">
        <v>5.5</v>
      </c>
      <c r="C7" s="67" t="s">
        <v>39</v>
      </c>
      <c r="D7" s="69">
        <f>B7/100</f>
        <v>0.055</v>
      </c>
      <c r="E7" s="67" t="s">
        <v>27</v>
      </c>
      <c r="G7" s="59">
        <v>8</v>
      </c>
      <c r="H7" s="60">
        <v>3.86</v>
      </c>
      <c r="I7" s="60">
        <v>0.328</v>
      </c>
      <c r="J7" s="61">
        <f t="shared" si="0"/>
        <v>0.8830678601046641</v>
      </c>
      <c r="K7" s="62">
        <f t="shared" si="0"/>
        <v>0.07503789070319426</v>
      </c>
      <c r="L7" s="63">
        <f t="shared" si="1"/>
        <v>11.768292682926829</v>
      </c>
    </row>
    <row r="8" spans="1:12" s="58" customFormat="1" ht="12.75">
      <c r="A8" s="65" t="s">
        <v>52</v>
      </c>
      <c r="B8" s="66">
        <v>90</v>
      </c>
      <c r="C8" s="67" t="s">
        <v>40</v>
      </c>
      <c r="D8" s="68">
        <f>B8/3.6</f>
        <v>25</v>
      </c>
      <c r="E8" s="67" t="s">
        <v>41</v>
      </c>
      <c r="G8" s="59">
        <v>10</v>
      </c>
      <c r="H8" s="60">
        <v>4.55</v>
      </c>
      <c r="I8" s="60">
        <v>0.459</v>
      </c>
      <c r="J8" s="61">
        <f t="shared" si="0"/>
        <v>1.0409219594497983</v>
      </c>
      <c r="K8" s="62">
        <f t="shared" si="0"/>
        <v>0.10500729217306758</v>
      </c>
      <c r="L8" s="63">
        <f t="shared" si="1"/>
        <v>9.912854030501087</v>
      </c>
    </row>
    <row r="9" spans="1:12" s="58" customFormat="1" ht="12.75">
      <c r="A9" s="65" t="s">
        <v>51</v>
      </c>
      <c r="B9" s="65">
        <v>1.156</v>
      </c>
      <c r="C9" s="67" t="s">
        <v>42</v>
      </c>
      <c r="D9" s="70">
        <f>B9</f>
        <v>1.156</v>
      </c>
      <c r="E9" s="67" t="s">
        <v>42</v>
      </c>
      <c r="G9" s="59">
        <v>12</v>
      </c>
      <c r="H9" s="60">
        <v>5.04</v>
      </c>
      <c r="I9" s="60">
        <v>0.59</v>
      </c>
      <c r="J9" s="61">
        <f t="shared" si="0"/>
        <v>1.153021247390546</v>
      </c>
      <c r="K9" s="62">
        <f t="shared" si="0"/>
        <v>0.13497669364294088</v>
      </c>
      <c r="L9" s="63">
        <f t="shared" si="1"/>
        <v>8.542372881355933</v>
      </c>
    </row>
    <row r="10" spans="3:12" s="58" customFormat="1" ht="12.75">
      <c r="C10" s="64"/>
      <c r="E10" s="64"/>
      <c r="G10" s="59">
        <v>14</v>
      </c>
      <c r="H10" s="60">
        <v>5.15</v>
      </c>
      <c r="I10" s="60">
        <v>0.728</v>
      </c>
      <c r="J10" s="61">
        <f t="shared" si="0"/>
        <v>1.1781863936629586</v>
      </c>
      <c r="K10" s="62">
        <f t="shared" si="0"/>
        <v>0.16654751351196773</v>
      </c>
      <c r="L10" s="63">
        <f t="shared" si="1"/>
        <v>7.074175824175825</v>
      </c>
    </row>
    <row r="11" spans="1:12" s="58" customFormat="1" ht="12.75">
      <c r="A11" s="70" t="s">
        <v>50</v>
      </c>
      <c r="B11" s="70">
        <f>D6*D7</f>
        <v>0.0121</v>
      </c>
      <c r="C11" s="67" t="s">
        <v>49</v>
      </c>
      <c r="E11" s="64"/>
      <c r="G11" s="59">
        <v>16</v>
      </c>
      <c r="H11" s="60">
        <v>5.03</v>
      </c>
      <c r="I11" s="60">
        <v>0.848</v>
      </c>
      <c r="J11" s="61">
        <f t="shared" si="0"/>
        <v>1.1507335068203266</v>
      </c>
      <c r="K11" s="62">
        <f t="shared" si="0"/>
        <v>0.19400040035459978</v>
      </c>
      <c r="L11" s="63">
        <f t="shared" si="1"/>
        <v>5.931603773584906</v>
      </c>
    </row>
    <row r="12" spans="3:7" s="58" customFormat="1" ht="12.75">
      <c r="C12" s="64"/>
      <c r="E12" s="64"/>
      <c r="G12" s="64"/>
    </row>
    <row r="13" spans="3:7" s="58" customFormat="1" ht="12.75">
      <c r="C13" s="64"/>
      <c r="E13" s="64"/>
      <c r="G13" s="64"/>
    </row>
  </sheetData>
  <sheetProtection/>
  <mergeCells count="1">
    <mergeCell ref="A1:E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41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2.57421875" style="0" customWidth="1"/>
    <col min="2" max="2" width="6.8515625" style="0" customWidth="1"/>
    <col min="3" max="5" width="6.57421875" style="0" customWidth="1"/>
    <col min="6" max="6" width="6.8515625" style="0" customWidth="1"/>
    <col min="7" max="7" width="5.140625" style="0" customWidth="1"/>
    <col min="8" max="8" width="7.00390625" style="0" customWidth="1"/>
    <col min="9" max="9" width="3.421875" style="0" customWidth="1"/>
    <col min="13" max="13" width="7.421875" style="0" customWidth="1"/>
    <col min="14" max="14" width="6.00390625" style="0" customWidth="1"/>
    <col min="15" max="15" width="8.421875" style="0" customWidth="1"/>
    <col min="16" max="16" width="5.57421875" style="0" customWidth="1"/>
    <col min="17" max="17" width="13.00390625" style="0" customWidth="1"/>
  </cols>
  <sheetData>
    <row r="1" spans="5:6" ht="18" customHeight="1">
      <c r="E1" s="18" t="s">
        <v>9</v>
      </c>
      <c r="F1" s="17">
        <v>164</v>
      </c>
    </row>
    <row r="2" spans="4:5" ht="7.5" customHeight="1">
      <c r="D2" s="15"/>
      <c r="E2" s="16"/>
    </row>
    <row r="3" spans="5:10" ht="18" customHeight="1">
      <c r="E3" s="18" t="s">
        <v>0</v>
      </c>
      <c r="F3" s="17">
        <v>2</v>
      </c>
      <c r="G3" s="11">
        <v>4</v>
      </c>
      <c r="H3" s="11">
        <v>24</v>
      </c>
      <c r="J3" t="s">
        <v>20</v>
      </c>
    </row>
    <row r="5" spans="6:8" ht="12.75">
      <c r="F5" s="4" t="s">
        <v>1</v>
      </c>
      <c r="G5" s="4" t="s">
        <v>2</v>
      </c>
      <c r="H5" s="4" t="s">
        <v>6</v>
      </c>
    </row>
    <row r="6" spans="6:8" ht="12.75">
      <c r="F6" s="4">
        <f>F3/100</f>
        <v>0.02</v>
      </c>
      <c r="G6" s="4">
        <f>G3/10</f>
        <v>0.4</v>
      </c>
      <c r="H6" s="4">
        <f>H3/100</f>
        <v>0.24</v>
      </c>
    </row>
    <row r="7" spans="6:8" ht="12.75">
      <c r="F7" s="23"/>
      <c r="G7" s="23"/>
      <c r="H7" s="23"/>
    </row>
    <row r="8" spans="6:8" ht="12.75">
      <c r="F8" s="23"/>
      <c r="G8" s="23"/>
      <c r="H8" s="23"/>
    </row>
    <row r="9" spans="6:8" ht="12.75">
      <c r="F9" s="23"/>
      <c r="G9" s="23"/>
      <c r="H9" s="23"/>
    </row>
    <row r="10" spans="2:15" ht="12.75">
      <c r="B10" s="85" t="s">
        <v>3</v>
      </c>
      <c r="C10" s="85"/>
      <c r="D10" s="85"/>
      <c r="E10" s="85"/>
      <c r="N10" s="5"/>
      <c r="O10" s="5"/>
    </row>
    <row r="11" spans="2:19" ht="12.75">
      <c r="B11" s="19" t="s">
        <v>23</v>
      </c>
      <c r="C11" s="19" t="s">
        <v>21</v>
      </c>
      <c r="D11" s="19" t="s">
        <v>22</v>
      </c>
      <c r="E11" s="19" t="s">
        <v>24</v>
      </c>
      <c r="G11" s="3" t="s">
        <v>4</v>
      </c>
      <c r="H11" s="3" t="s">
        <v>3</v>
      </c>
      <c r="I11" s="2"/>
      <c r="J11" s="3" t="s">
        <v>5</v>
      </c>
      <c r="K11" s="3" t="s">
        <v>7</v>
      </c>
      <c r="L11" s="3" t="s">
        <v>8</v>
      </c>
      <c r="M11" s="3" t="s">
        <v>13</v>
      </c>
      <c r="O11" s="8" t="s">
        <v>10</v>
      </c>
      <c r="P11" s="6"/>
      <c r="Q11" s="3" t="s">
        <v>14</v>
      </c>
      <c r="R11" s="3" t="s">
        <v>11</v>
      </c>
      <c r="S11" s="3" t="s">
        <v>12</v>
      </c>
    </row>
    <row r="12" spans="2:19" ht="12.75">
      <c r="B12" s="4">
        <v>0</v>
      </c>
      <c r="C12" s="4">
        <f>(G12/20)^2</f>
        <v>0</v>
      </c>
      <c r="D12" s="4">
        <f aca="true" t="shared" si="0" ref="D12:D32">0.05*G12</f>
        <v>0</v>
      </c>
      <c r="E12" s="4">
        <f>((1-COS(G12*PI()/20))/2)^2</f>
        <v>0</v>
      </c>
      <c r="G12" s="4">
        <v>0</v>
      </c>
      <c r="H12" s="4">
        <f>C12</f>
        <v>0</v>
      </c>
      <c r="I12" s="1"/>
      <c r="J12" s="4">
        <f>IF(F6=0,0,(IF(H12&lt;=$G$6,($F$6/$G$6^2)*(2*$G$6*H12-H12^2),($F$6/(1-$G$6)^2)*(1-2*$G$6+2*$G$6*H12-H12^2))))</f>
        <v>0</v>
      </c>
      <c r="K12" s="4">
        <f aca="true" t="shared" si="1" ref="K12:K32">($H$6/0.2)*(0.2969*SQRT(H12)-0.126*H12-0.3516*H12^2+0.2843*H12^3-0.1015*H12^4)</f>
        <v>0</v>
      </c>
      <c r="L12" s="4">
        <f>-K12</f>
        <v>0</v>
      </c>
      <c r="M12" s="4">
        <f>2*K12</f>
        <v>0</v>
      </c>
      <c r="O12" s="27">
        <f>IF($F$6=0,0,ATAN(($F$6/$G$6^2)*($G$6-H12)))</f>
        <v>0.04995839572194275</v>
      </c>
      <c r="P12" s="7"/>
      <c r="Q12" s="4">
        <f>H12-K12*SIN(O12)</f>
        <v>0</v>
      </c>
      <c r="R12" s="4">
        <f aca="true" t="shared" si="2" ref="R12:R32">J12+K12*COS(O12)</f>
        <v>0</v>
      </c>
      <c r="S12" s="4">
        <f aca="true" t="shared" si="3" ref="S12:S32">J12-K12*COS(O12)</f>
        <v>0</v>
      </c>
    </row>
    <row r="13" spans="2:19" ht="12.75">
      <c r="B13" s="21">
        <v>0.005</v>
      </c>
      <c r="C13" s="24">
        <f aca="true" t="shared" si="4" ref="C13:C32">(G13/20)^2</f>
        <v>0.0025000000000000005</v>
      </c>
      <c r="D13" s="24">
        <f t="shared" si="0"/>
        <v>0.05</v>
      </c>
      <c r="E13" s="4">
        <f aca="true" t="shared" si="5" ref="E13:E32">((1-COS(G13*PI()/20))/2)^2</f>
        <v>3.7894239325333145E-05</v>
      </c>
      <c r="G13" s="4">
        <v>1</v>
      </c>
      <c r="H13" s="24">
        <f aca="true" t="shared" si="6" ref="H13:H32">C13</f>
        <v>0.0025000000000000005</v>
      </c>
      <c r="I13" s="1"/>
      <c r="J13" s="4">
        <f aca="true" t="shared" si="7" ref="J13:J32">IF(H13&lt;=$G$6,($F$6/$G$6^2)*(2*$G$6*H13-H13^2),($F$6/(1-$G$6)^2)*(1-2*$G$6+2*$G$6*H13-H13^2))</f>
        <v>0.00024921875</v>
      </c>
      <c r="K13" s="4">
        <f t="shared" si="1"/>
        <v>0.01743336832586719</v>
      </c>
      <c r="L13" s="4">
        <f aca="true" t="shared" si="8" ref="L13:L32">-K13</f>
        <v>-0.01743336832586719</v>
      </c>
      <c r="M13" s="4">
        <f aca="true" t="shared" si="9" ref="M13:M32">2*K13</f>
        <v>0.03486673665173438</v>
      </c>
      <c r="O13" s="27">
        <f>IF($F$6=0,0,ATAN(($F$6/$G$6^2)*($G$6-H13)))</f>
        <v>0.04964667017522006</v>
      </c>
      <c r="P13" s="26"/>
      <c r="Q13" s="4">
        <f aca="true" t="shared" si="10" ref="Q13:Q32">H13-K13*SIN(O13)</f>
        <v>0.0016348468186617726</v>
      </c>
      <c r="R13" s="4">
        <f t="shared" si="2"/>
        <v>0.01766110667630396</v>
      </c>
      <c r="S13" s="4">
        <f t="shared" si="3"/>
        <v>-0.017162669176303963</v>
      </c>
    </row>
    <row r="14" spans="2:19" ht="12.75">
      <c r="B14" s="21">
        <v>0.01</v>
      </c>
      <c r="C14" s="24">
        <f t="shared" si="4"/>
        <v>0.010000000000000002</v>
      </c>
      <c r="D14" s="24">
        <f t="shared" si="0"/>
        <v>0.1</v>
      </c>
      <c r="E14" s="4">
        <f t="shared" si="5"/>
        <v>0.0005988661492916429</v>
      </c>
      <c r="G14" s="4">
        <v>2</v>
      </c>
      <c r="H14" s="24">
        <f t="shared" si="6"/>
        <v>0.010000000000000002</v>
      </c>
      <c r="I14" s="1"/>
      <c r="J14" s="4">
        <f t="shared" si="7"/>
        <v>0.0009875</v>
      </c>
      <c r="K14" s="4">
        <f t="shared" si="1"/>
        <v>0.034074147942</v>
      </c>
      <c r="L14" s="4">
        <f t="shared" si="8"/>
        <v>-0.034074147942</v>
      </c>
      <c r="M14" s="4">
        <f t="shared" si="9"/>
        <v>0.068148295884</v>
      </c>
      <c r="O14" s="27">
        <f>IF($F$6=0,0,ATAN(($F$6/$G$6^2)*($G$6-H14)))</f>
        <v>0.048711435834547075</v>
      </c>
      <c r="P14" s="26"/>
      <c r="Q14" s="4">
        <f t="shared" si="10"/>
        <v>0.008340855647975765</v>
      </c>
      <c r="R14" s="4">
        <f t="shared" si="2"/>
        <v>0.035021230297933095</v>
      </c>
      <c r="S14" s="4">
        <f t="shared" si="3"/>
        <v>-0.03304623029793309</v>
      </c>
    </row>
    <row r="15" spans="2:19" ht="12.75">
      <c r="B15" s="21">
        <v>0.0125</v>
      </c>
      <c r="C15" s="24">
        <f t="shared" si="4"/>
        <v>0.0225</v>
      </c>
      <c r="D15" s="24">
        <f t="shared" si="0"/>
        <v>0.15000000000000002</v>
      </c>
      <c r="E15" s="4">
        <f t="shared" si="5"/>
        <v>0.002969894442375208</v>
      </c>
      <c r="G15" s="4">
        <v>3</v>
      </c>
      <c r="H15" s="24">
        <f t="shared" si="6"/>
        <v>0.0225</v>
      </c>
      <c r="I15" s="1"/>
      <c r="J15" s="4">
        <f t="shared" si="7"/>
        <v>0.0021867187499999994</v>
      </c>
      <c r="K15" s="4">
        <f t="shared" si="1"/>
        <v>0.04983025780961719</v>
      </c>
      <c r="L15" s="4">
        <f t="shared" si="8"/>
        <v>-0.04983025780961719</v>
      </c>
      <c r="M15" s="4">
        <f t="shared" si="9"/>
        <v>0.09966051561923438</v>
      </c>
      <c r="O15" s="27">
        <f aca="true" t="shared" si="11" ref="O15:O32">IF($F$6=0,0,ATAN(($F$6/$G$6^2)*($G$6-H15)))</f>
        <v>0.04715252320827159</v>
      </c>
      <c r="P15" s="26"/>
      <c r="Q15" s="4">
        <f t="shared" si="10"/>
        <v>0.020151248191617902</v>
      </c>
      <c r="R15" s="4">
        <f t="shared" si="2"/>
        <v>0.05196159151041533</v>
      </c>
      <c r="S15" s="4">
        <f t="shared" si="3"/>
        <v>-0.047588154010415336</v>
      </c>
    </row>
    <row r="16" spans="2:19" ht="12.75">
      <c r="B16" s="21">
        <v>0.02</v>
      </c>
      <c r="C16" s="24">
        <f t="shared" si="4"/>
        <v>0.04000000000000001</v>
      </c>
      <c r="D16" s="24">
        <f t="shared" si="0"/>
        <v>0.2</v>
      </c>
      <c r="E16" s="4">
        <f t="shared" si="5"/>
        <v>0.009118627109394713</v>
      </c>
      <c r="G16" s="4">
        <v>4</v>
      </c>
      <c r="H16" s="24">
        <f t="shared" si="6"/>
        <v>0.04000000000000001</v>
      </c>
      <c r="I16" s="1"/>
      <c r="J16" s="4">
        <f t="shared" si="7"/>
        <v>0.0038</v>
      </c>
      <c r="K16" s="4">
        <f t="shared" si="1"/>
        <v>0.06455445043199999</v>
      </c>
      <c r="L16" s="4">
        <f t="shared" si="8"/>
        <v>-0.06455445043199999</v>
      </c>
      <c r="M16" s="4">
        <f t="shared" si="9"/>
        <v>0.12910890086399998</v>
      </c>
      <c r="O16" s="27">
        <f t="shared" si="11"/>
        <v>0.04496966185232758</v>
      </c>
      <c r="P16" s="26"/>
      <c r="Q16" s="4">
        <f t="shared" si="10"/>
        <v>0.037097986533190734</v>
      </c>
      <c r="R16" s="4">
        <f t="shared" si="2"/>
        <v>0.06828918815131728</v>
      </c>
      <c r="S16" s="4">
        <f t="shared" si="3"/>
        <v>-0.06068918815131728</v>
      </c>
    </row>
    <row r="17" spans="2:19" s="10" customFormat="1" ht="12.75">
      <c r="B17" s="21">
        <v>0.025</v>
      </c>
      <c r="C17" s="24">
        <f t="shared" si="4"/>
        <v>0.0625</v>
      </c>
      <c r="D17" s="24">
        <f t="shared" si="0"/>
        <v>0.25</v>
      </c>
      <c r="E17" s="4">
        <f t="shared" si="5"/>
        <v>0.02144660940672623</v>
      </c>
      <c r="G17" s="13">
        <v>5</v>
      </c>
      <c r="H17" s="24">
        <f t="shared" si="6"/>
        <v>0.0625</v>
      </c>
      <c r="I17" s="9"/>
      <c r="J17" s="13">
        <f t="shared" si="7"/>
        <v>0.0057617187499999995</v>
      </c>
      <c r="K17" s="13">
        <f t="shared" si="1"/>
        <v>0.07805330749511717</v>
      </c>
      <c r="L17" s="13">
        <f t="shared" si="8"/>
        <v>-0.07805330749511717</v>
      </c>
      <c r="M17" s="13">
        <f t="shared" si="9"/>
        <v>0.15610661499023434</v>
      </c>
      <c r="O17" s="27">
        <f t="shared" si="11"/>
        <v>0.042162498464231944</v>
      </c>
      <c r="P17" s="26"/>
      <c r="Q17" s="13">
        <f t="shared" si="10"/>
        <v>0.059210052488411484</v>
      </c>
      <c r="R17" s="13">
        <f t="shared" si="2"/>
        <v>0.08374565976543155</v>
      </c>
      <c r="S17" s="13">
        <f t="shared" si="3"/>
        <v>-0.07222222226543154</v>
      </c>
    </row>
    <row r="18" spans="2:19" ht="12.75">
      <c r="B18" s="21">
        <v>0.05</v>
      </c>
      <c r="C18" s="24">
        <f t="shared" si="4"/>
        <v>0.09</v>
      </c>
      <c r="D18" s="24">
        <f t="shared" si="0"/>
        <v>0.30000000000000004</v>
      </c>
      <c r="E18" s="4">
        <f t="shared" si="5"/>
        <v>0.04248024955689501</v>
      </c>
      <c r="G18" s="4">
        <v>6</v>
      </c>
      <c r="H18" s="24">
        <f t="shared" si="6"/>
        <v>0.09</v>
      </c>
      <c r="I18" s="1"/>
      <c r="J18" s="4">
        <f t="shared" si="7"/>
        <v>0.007987499999999998</v>
      </c>
      <c r="K18" s="4">
        <f t="shared" si="1"/>
        <v>0.09009916234200001</v>
      </c>
      <c r="L18" s="4">
        <f t="shared" si="8"/>
        <v>-0.09009916234200001</v>
      </c>
      <c r="M18" s="4">
        <f t="shared" si="9"/>
        <v>0.18019832468400002</v>
      </c>
      <c r="O18" s="27">
        <f t="shared" si="11"/>
        <v>0.03873062227283576</v>
      </c>
      <c r="P18" s="26"/>
      <c r="Q18" s="4">
        <f t="shared" si="10"/>
        <v>0.08651127574549278</v>
      </c>
      <c r="R18" s="4">
        <f t="shared" si="2"/>
        <v>0.09801909366470242</v>
      </c>
      <c r="S18" s="4">
        <f t="shared" si="3"/>
        <v>-0.08204409366470243</v>
      </c>
    </row>
    <row r="19" spans="2:19" ht="12.75">
      <c r="B19" s="22">
        <v>0.075</v>
      </c>
      <c r="C19" s="24">
        <f t="shared" si="4"/>
        <v>0.12249999999999998</v>
      </c>
      <c r="D19" s="24">
        <f t="shared" si="0"/>
        <v>0.35000000000000003</v>
      </c>
      <c r="E19" s="4">
        <f t="shared" si="5"/>
        <v>0.07453159359366747</v>
      </c>
      <c r="G19" s="4">
        <v>7</v>
      </c>
      <c r="H19" s="24">
        <f t="shared" si="6"/>
        <v>0.12249999999999998</v>
      </c>
      <c r="I19" s="1"/>
      <c r="J19" s="4">
        <f t="shared" si="7"/>
        <v>0.010374218749999997</v>
      </c>
      <c r="K19" s="4">
        <f t="shared" si="1"/>
        <v>0.10044427785836718</v>
      </c>
      <c r="L19" s="4">
        <f t="shared" si="8"/>
        <v>-0.10044427785836718</v>
      </c>
      <c r="M19" s="4">
        <f t="shared" si="9"/>
        <v>0.20088855571673436</v>
      </c>
      <c r="O19" s="27">
        <f t="shared" si="11"/>
        <v>0.03467359777314242</v>
      </c>
      <c r="P19" s="26"/>
      <c r="Q19" s="4">
        <f t="shared" si="10"/>
        <v>0.11901793333277601</v>
      </c>
      <c r="R19" s="4">
        <f t="shared" si="2"/>
        <v>0.11075812266997055</v>
      </c>
      <c r="S19" s="4">
        <f t="shared" si="3"/>
        <v>-0.09000968516997056</v>
      </c>
    </row>
    <row r="20" spans="2:19" ht="12.75">
      <c r="B20" s="22">
        <v>0.1</v>
      </c>
      <c r="C20" s="24">
        <f t="shared" si="4"/>
        <v>0.16000000000000003</v>
      </c>
      <c r="D20" s="24">
        <f t="shared" si="0"/>
        <v>0.4</v>
      </c>
      <c r="E20" s="4">
        <f t="shared" si="5"/>
        <v>0.11936437851565786</v>
      </c>
      <c r="G20" s="4">
        <v>8</v>
      </c>
      <c r="H20" s="24">
        <f t="shared" si="6"/>
        <v>0.16000000000000003</v>
      </c>
      <c r="I20" s="1"/>
      <c r="J20" s="4">
        <f t="shared" si="7"/>
        <v>0.012799999999999999</v>
      </c>
      <c r="K20" s="4">
        <f t="shared" si="1"/>
        <v>0.10883641651199998</v>
      </c>
      <c r="L20" s="4">
        <f t="shared" si="8"/>
        <v>-0.10883641651199998</v>
      </c>
      <c r="M20" s="4">
        <f t="shared" si="9"/>
        <v>0.21767283302399995</v>
      </c>
      <c r="O20" s="27">
        <f t="shared" si="11"/>
        <v>0.029991004856877893</v>
      </c>
      <c r="P20" s="26"/>
      <c r="Q20" s="4">
        <f t="shared" si="10"/>
        <v>0.15673637580523433</v>
      </c>
      <c r="R20" s="4">
        <f t="shared" si="2"/>
        <v>0.12158747315885629</v>
      </c>
      <c r="S20" s="4">
        <f t="shared" si="3"/>
        <v>-0.0959874731588563</v>
      </c>
    </row>
    <row r="21" spans="2:19" ht="12.75">
      <c r="B21" s="22">
        <v>0.15</v>
      </c>
      <c r="C21" s="24">
        <f t="shared" si="4"/>
        <v>0.2025</v>
      </c>
      <c r="D21" s="24">
        <f t="shared" si="0"/>
        <v>0.45</v>
      </c>
      <c r="E21" s="4">
        <f t="shared" si="5"/>
        <v>0.17790070294299035</v>
      </c>
      <c r="G21" s="4">
        <v>9</v>
      </c>
      <c r="H21" s="24">
        <f t="shared" si="6"/>
        <v>0.2025</v>
      </c>
      <c r="I21" s="1"/>
      <c r="J21" s="4">
        <f t="shared" si="7"/>
        <v>0.01512421875</v>
      </c>
      <c r="K21" s="4">
        <f t="shared" si="1"/>
        <v>0.11503474745336716</v>
      </c>
      <c r="L21" s="4">
        <f t="shared" si="8"/>
        <v>-0.11503474745336716</v>
      </c>
      <c r="M21" s="4">
        <f t="shared" si="9"/>
        <v>0.2300694949067343</v>
      </c>
      <c r="O21" s="27">
        <f t="shared" si="11"/>
        <v>0.024682486381203413</v>
      </c>
      <c r="P21" s="26"/>
      <c r="Q21" s="4">
        <f t="shared" si="10"/>
        <v>0.19966094470374815</v>
      </c>
      <c r="R21" s="4">
        <f t="shared" si="2"/>
        <v>0.13012392695260713</v>
      </c>
      <c r="S21" s="4">
        <f t="shared" si="3"/>
        <v>-0.09987548945260713</v>
      </c>
    </row>
    <row r="22" spans="2:19" ht="12.75">
      <c r="B22" s="22">
        <v>0.2</v>
      </c>
      <c r="C22" s="24">
        <f t="shared" si="4"/>
        <v>0.25</v>
      </c>
      <c r="D22" s="24">
        <f t="shared" si="0"/>
        <v>0.5</v>
      </c>
      <c r="E22" s="4">
        <f t="shared" si="5"/>
        <v>0.24999999999999994</v>
      </c>
      <c r="G22" s="4">
        <v>10</v>
      </c>
      <c r="H22" s="24">
        <f t="shared" si="6"/>
        <v>0.25</v>
      </c>
      <c r="I22" s="1"/>
      <c r="J22" s="4">
        <f t="shared" si="7"/>
        <v>0.017187499999999998</v>
      </c>
      <c r="K22" s="4">
        <f t="shared" si="1"/>
        <v>0.11882484374999999</v>
      </c>
      <c r="L22" s="4">
        <f t="shared" si="8"/>
        <v>-0.11882484374999999</v>
      </c>
      <c r="M22" s="4">
        <f t="shared" si="9"/>
        <v>0.23764968749999998</v>
      </c>
      <c r="O22" s="27">
        <f t="shared" si="11"/>
        <v>0.01874780319774436</v>
      </c>
      <c r="P22" s="26"/>
      <c r="Q22" s="4">
        <f t="shared" si="10"/>
        <v>0.24777242571107155</v>
      </c>
      <c r="R22" s="4">
        <f t="shared" si="2"/>
        <v>0.13599146207618337</v>
      </c>
      <c r="S22" s="4">
        <f t="shared" si="3"/>
        <v>-0.10161646207618337</v>
      </c>
    </row>
    <row r="23" spans="2:19" ht="12.75">
      <c r="B23" s="22">
        <v>0.25</v>
      </c>
      <c r="C23" s="24">
        <f t="shared" si="4"/>
        <v>0.30250000000000005</v>
      </c>
      <c r="D23" s="24">
        <f t="shared" si="0"/>
        <v>0.55</v>
      </c>
      <c r="E23" s="4">
        <f t="shared" si="5"/>
        <v>0.33433516798322105</v>
      </c>
      <c r="G23" s="4">
        <v>11</v>
      </c>
      <c r="H23" s="24">
        <f t="shared" si="6"/>
        <v>0.30250000000000005</v>
      </c>
      <c r="I23" s="1"/>
      <c r="J23" s="4">
        <f t="shared" si="7"/>
        <v>0.01881171875</v>
      </c>
      <c r="K23" s="4">
        <f t="shared" si="1"/>
        <v>0.12003133099211719</v>
      </c>
      <c r="L23" s="4">
        <f t="shared" si="8"/>
        <v>-0.12003133099211719</v>
      </c>
      <c r="M23" s="4">
        <f t="shared" si="9"/>
        <v>0.24006266198423437</v>
      </c>
      <c r="O23" s="27">
        <f t="shared" si="11"/>
        <v>0.012186896629699837</v>
      </c>
      <c r="P23" s="26"/>
      <c r="Q23" s="4">
        <f t="shared" si="10"/>
        <v>0.30103722678612377</v>
      </c>
      <c r="R23" s="4">
        <f t="shared" si="2"/>
        <v>0.13883413629882277</v>
      </c>
      <c r="S23" s="4">
        <f t="shared" si="3"/>
        <v>-0.10121069879882276</v>
      </c>
    </row>
    <row r="24" spans="2:19" ht="12.75">
      <c r="B24" s="22">
        <v>0.3</v>
      </c>
      <c r="C24" s="24">
        <f t="shared" si="4"/>
        <v>0.36</v>
      </c>
      <c r="D24" s="24">
        <f t="shared" si="0"/>
        <v>0.6000000000000001</v>
      </c>
      <c r="E24" s="4">
        <f t="shared" si="5"/>
        <v>0.4283813728906053</v>
      </c>
      <c r="G24" s="4">
        <v>12</v>
      </c>
      <c r="H24" s="24">
        <f t="shared" si="6"/>
        <v>0.36</v>
      </c>
      <c r="I24" s="1"/>
      <c r="J24" s="4">
        <f t="shared" si="7"/>
        <v>0.019799999999999995</v>
      </c>
      <c r="K24" s="4">
        <f t="shared" si="1"/>
        <v>0.11852655667200002</v>
      </c>
      <c r="L24" s="4">
        <f>-K24</f>
        <v>-0.11852655667200002</v>
      </c>
      <c r="M24" s="4">
        <f t="shared" si="9"/>
        <v>0.23705311334400003</v>
      </c>
      <c r="O24" s="27">
        <f t="shared" si="11"/>
        <v>0.004999958333958326</v>
      </c>
      <c r="P24" s="26"/>
      <c r="Q24" s="4">
        <f t="shared" si="10"/>
        <v>0.35940737462441086</v>
      </c>
      <c r="R24" s="4">
        <f t="shared" si="2"/>
        <v>0.1383250751178207</v>
      </c>
      <c r="S24" s="4">
        <f t="shared" si="3"/>
        <v>-0.09872507511782071</v>
      </c>
    </row>
    <row r="25" spans="2:19" ht="12.75">
      <c r="B25" s="22">
        <v>0.4</v>
      </c>
      <c r="C25" s="24">
        <f t="shared" si="4"/>
        <v>0.42250000000000004</v>
      </c>
      <c r="D25" s="24">
        <f t="shared" si="0"/>
        <v>0.65</v>
      </c>
      <c r="E25" s="4">
        <f t="shared" si="5"/>
        <v>0.5285220933332142</v>
      </c>
      <c r="G25" s="4">
        <v>13</v>
      </c>
      <c r="H25" s="24">
        <f t="shared" si="6"/>
        <v>0.42250000000000004</v>
      </c>
      <c r="I25" s="1"/>
      <c r="J25" s="4">
        <f t="shared" si="7"/>
        <v>0.019971875</v>
      </c>
      <c r="K25" s="4">
        <f t="shared" si="1"/>
        <v>0.11423345790461718</v>
      </c>
      <c r="L25" s="4">
        <f t="shared" si="8"/>
        <v>-0.11423345790461718</v>
      </c>
      <c r="M25" s="4">
        <f t="shared" si="9"/>
        <v>0.22846691580923437</v>
      </c>
      <c r="O25" s="27">
        <f t="shared" si="11"/>
        <v>-0.0028124925842637136</v>
      </c>
      <c r="P25" s="26"/>
      <c r="Q25" s="4">
        <f t="shared" si="10"/>
        <v>0.4228212803296705</v>
      </c>
      <c r="R25" s="4">
        <f t="shared" si="2"/>
        <v>0.13420488110504702</v>
      </c>
      <c r="S25" s="4">
        <f t="shared" si="3"/>
        <v>-0.09426113110504702</v>
      </c>
    </row>
    <row r="26" spans="2:19" ht="12.75">
      <c r="B26" s="22">
        <v>0.5</v>
      </c>
      <c r="C26" s="24">
        <f t="shared" si="4"/>
        <v>0.48999999999999994</v>
      </c>
      <c r="D26" s="24">
        <f t="shared" si="0"/>
        <v>0.7000000000000001</v>
      </c>
      <c r="E26" s="4">
        <f t="shared" si="5"/>
        <v>0.6302655018493679</v>
      </c>
      <c r="G26" s="4">
        <v>14</v>
      </c>
      <c r="H26" s="24">
        <f t="shared" si="6"/>
        <v>0.48999999999999994</v>
      </c>
      <c r="I26" s="1"/>
      <c r="J26" s="4">
        <f t="shared" si="7"/>
        <v>0.019549999999999998</v>
      </c>
      <c r="K26" s="4">
        <f t="shared" si="1"/>
        <v>0.107120613222</v>
      </c>
      <c r="L26" s="4">
        <f t="shared" si="8"/>
        <v>-0.107120613222</v>
      </c>
      <c r="M26" s="4">
        <f t="shared" si="9"/>
        <v>0.214241226444</v>
      </c>
      <c r="O26" s="27">
        <f t="shared" si="11"/>
        <v>-0.011249525426662379</v>
      </c>
      <c r="P26" s="26"/>
      <c r="Q26" s="4">
        <f t="shared" si="10"/>
        <v>0.49120503064531457</v>
      </c>
      <c r="R26" s="4">
        <f t="shared" si="2"/>
        <v>0.1266638351390761</v>
      </c>
      <c r="S26" s="4">
        <f t="shared" si="3"/>
        <v>-0.0875638351390761</v>
      </c>
    </row>
    <row r="27" spans="2:19" ht="12.75">
      <c r="B27" s="22">
        <v>0.6</v>
      </c>
      <c r="C27" s="24">
        <f t="shared" si="4"/>
        <v>0.5625</v>
      </c>
      <c r="D27" s="24">
        <f t="shared" si="0"/>
        <v>0.75</v>
      </c>
      <c r="E27" s="4">
        <f t="shared" si="5"/>
        <v>0.7285533905932737</v>
      </c>
      <c r="G27" s="4">
        <v>15</v>
      </c>
      <c r="H27" s="24">
        <f t="shared" si="6"/>
        <v>0.5625</v>
      </c>
      <c r="I27" s="1"/>
      <c r="J27" s="4">
        <f t="shared" si="7"/>
        <v>0.018532986111111108</v>
      </c>
      <c r="K27" s="4">
        <f t="shared" si="1"/>
        <v>0.0971872723388672</v>
      </c>
      <c r="L27" s="4">
        <f t="shared" si="8"/>
        <v>-0.0971872723388672</v>
      </c>
      <c r="M27" s="4">
        <f t="shared" si="9"/>
        <v>0.1943745446777344</v>
      </c>
      <c r="O27" s="27">
        <f t="shared" si="11"/>
        <v>-0.02030970706141915</v>
      </c>
      <c r="P27" s="26"/>
      <c r="Q27" s="4">
        <f t="shared" si="10"/>
        <v>0.564473709337451</v>
      </c>
      <c r="R27" s="4">
        <f t="shared" si="2"/>
        <v>0.11570021503177345</v>
      </c>
      <c r="S27" s="4">
        <f t="shared" si="3"/>
        <v>-0.07863424280955124</v>
      </c>
    </row>
    <row r="28" spans="2:19" ht="12.75">
      <c r="B28" s="22">
        <v>0.7</v>
      </c>
      <c r="C28" s="24">
        <f t="shared" si="4"/>
        <v>0.6400000000000001</v>
      </c>
      <c r="D28" s="24">
        <f t="shared" si="0"/>
        <v>0.8</v>
      </c>
      <c r="E28" s="4">
        <f t="shared" si="5"/>
        <v>0.8181356214843422</v>
      </c>
      <c r="G28" s="4">
        <v>16</v>
      </c>
      <c r="H28" s="24">
        <f t="shared" si="6"/>
        <v>0.6400000000000001</v>
      </c>
      <c r="I28" s="1"/>
      <c r="J28" s="4">
        <f t="shared" si="7"/>
        <v>0.016799999999999995</v>
      </c>
      <c r="K28" s="4">
        <f t="shared" si="1"/>
        <v>0.08443596595199994</v>
      </c>
      <c r="L28" s="4">
        <f t="shared" si="8"/>
        <v>-0.08443596595199994</v>
      </c>
      <c r="M28" s="4">
        <f t="shared" si="9"/>
        <v>0.16887193190399988</v>
      </c>
      <c r="O28" s="27">
        <f t="shared" si="11"/>
        <v>-0.029991004856877907</v>
      </c>
      <c r="P28" s="26"/>
      <c r="Q28" s="4">
        <f t="shared" si="10"/>
        <v>0.6425319398618659</v>
      </c>
      <c r="R28" s="4">
        <f t="shared" si="2"/>
        <v>0.10119799539552576</v>
      </c>
      <c r="S28" s="4">
        <f t="shared" si="3"/>
        <v>-0.06759799539552577</v>
      </c>
    </row>
    <row r="29" spans="2:19" ht="12.75">
      <c r="B29" s="22">
        <v>0.8</v>
      </c>
      <c r="C29" s="24">
        <f t="shared" si="4"/>
        <v>0.7224999999999999</v>
      </c>
      <c r="D29" s="24">
        <f t="shared" si="0"/>
        <v>0.8500000000000001</v>
      </c>
      <c r="E29" s="4">
        <f t="shared" si="5"/>
        <v>0.893976418630743</v>
      </c>
      <c r="G29" s="4">
        <v>17</v>
      </c>
      <c r="H29" s="24">
        <f t="shared" si="6"/>
        <v>0.7224999999999999</v>
      </c>
      <c r="I29" s="1"/>
      <c r="J29" s="4">
        <f t="shared" si="7"/>
        <v>0.014221875000000002</v>
      </c>
      <c r="K29" s="4">
        <f t="shared" si="1"/>
        <v>0.06883010580086721</v>
      </c>
      <c r="L29" s="4">
        <f t="shared" si="8"/>
        <v>-0.06883010580086721</v>
      </c>
      <c r="M29" s="4">
        <f t="shared" si="9"/>
        <v>0.13766021160173442</v>
      </c>
      <c r="O29" s="27">
        <f t="shared" si="11"/>
        <v>-0.04029068401815725</v>
      </c>
      <c r="P29" s="26"/>
      <c r="Q29" s="4">
        <f t="shared" si="10"/>
        <v>0.7252724617940117</v>
      </c>
      <c r="R29" s="4">
        <f t="shared" si="2"/>
        <v>0.08299612105300533</v>
      </c>
      <c r="S29" s="4">
        <f t="shared" si="3"/>
        <v>-0.05455237105300532</v>
      </c>
    </row>
    <row r="30" spans="2:19" ht="12.75">
      <c r="B30" s="22">
        <v>0.9</v>
      </c>
      <c r="C30" s="24">
        <f t="shared" si="4"/>
        <v>0.81</v>
      </c>
      <c r="D30" s="24">
        <f t="shared" si="0"/>
        <v>0.9</v>
      </c>
      <c r="E30" s="4">
        <f t="shared" si="5"/>
        <v>0.9516553824444453</v>
      </c>
      <c r="G30" s="4">
        <v>18</v>
      </c>
      <c r="H30" s="24">
        <f t="shared" si="6"/>
        <v>0.81</v>
      </c>
      <c r="I30" s="1"/>
      <c r="J30" s="4">
        <f t="shared" si="7"/>
        <v>0.010661111111111109</v>
      </c>
      <c r="K30" s="4">
        <f t="shared" si="1"/>
        <v>0.050233793381999944</v>
      </c>
      <c r="L30" s="4">
        <f t="shared" si="8"/>
        <v>-0.050233793381999944</v>
      </c>
      <c r="M30" s="4">
        <f t="shared" si="9"/>
        <v>0.10046758676399989</v>
      </c>
      <c r="O30" s="27">
        <f t="shared" si="11"/>
        <v>-0.05120520013790958</v>
      </c>
      <c r="P30" s="26"/>
      <c r="Q30" s="4">
        <f t="shared" si="10"/>
        <v>0.8125711075378038</v>
      </c>
      <c r="R30" s="4">
        <f t="shared" si="2"/>
        <v>0.06082906306825712</v>
      </c>
      <c r="S30" s="4">
        <f t="shared" si="3"/>
        <v>-0.0395068408460349</v>
      </c>
    </row>
    <row r="31" spans="2:19" ht="12.75">
      <c r="B31" s="22">
        <v>0.95</v>
      </c>
      <c r="C31" s="24">
        <f t="shared" si="4"/>
        <v>0.9025</v>
      </c>
      <c r="D31" s="24">
        <f t="shared" si="0"/>
        <v>0.9500000000000001</v>
      </c>
      <c r="E31" s="4">
        <f t="shared" si="5"/>
        <v>0.9877262348344631</v>
      </c>
      <c r="G31" s="4">
        <v>19</v>
      </c>
      <c r="H31" s="24">
        <f t="shared" si="6"/>
        <v>0.9025</v>
      </c>
      <c r="I31" s="1"/>
      <c r="J31" s="4">
        <f t="shared" si="7"/>
        <v>0.005971874999999997</v>
      </c>
      <c r="K31" s="4">
        <f t="shared" si="1"/>
        <v>0.028330863874617133</v>
      </c>
      <c r="L31" s="4">
        <f t="shared" si="8"/>
        <v>-0.028330863874617133</v>
      </c>
      <c r="M31" s="4">
        <f t="shared" si="9"/>
        <v>0.05666172774923427</v>
      </c>
      <c r="O31" s="27">
        <f t="shared" si="11"/>
        <v>-0.06273008797660425</v>
      </c>
      <c r="P31" s="26"/>
      <c r="Q31" s="4">
        <f t="shared" si="10"/>
        <v>0.9042760322482616</v>
      </c>
      <c r="R31" s="4">
        <f t="shared" si="2"/>
        <v>0.03424701527083191</v>
      </c>
      <c r="S31" s="4">
        <f t="shared" si="3"/>
        <v>-0.02230326527083192</v>
      </c>
    </row>
    <row r="32" spans="2:19" ht="12.75">
      <c r="B32" s="13">
        <v>1</v>
      </c>
      <c r="C32" s="4">
        <f t="shared" si="4"/>
        <v>1</v>
      </c>
      <c r="D32" s="4">
        <f t="shared" si="0"/>
        <v>1</v>
      </c>
      <c r="E32" s="4">
        <f t="shared" si="5"/>
        <v>1</v>
      </c>
      <c r="G32" s="4">
        <v>20</v>
      </c>
      <c r="H32" s="25">
        <f t="shared" si="6"/>
        <v>1</v>
      </c>
      <c r="I32" s="1"/>
      <c r="J32" s="4">
        <f t="shared" si="7"/>
        <v>0</v>
      </c>
      <c r="K32" s="4">
        <f t="shared" si="1"/>
        <v>0.0025199999999999554</v>
      </c>
      <c r="L32" s="4">
        <f t="shared" si="8"/>
        <v>-0.0025199999999999554</v>
      </c>
      <c r="M32" s="4">
        <f t="shared" si="9"/>
        <v>0.005039999999999911</v>
      </c>
      <c r="O32" s="27">
        <f t="shared" si="11"/>
        <v>-0.07485984771076684</v>
      </c>
      <c r="P32" s="26"/>
      <c r="Q32" s="4">
        <f t="shared" si="10"/>
        <v>1.000188470669569</v>
      </c>
      <c r="R32" s="4">
        <f t="shared" si="2"/>
        <v>0.0025129422609188657</v>
      </c>
      <c r="S32" s="4">
        <f t="shared" si="3"/>
        <v>-0.0025129422609188657</v>
      </c>
    </row>
    <row r="35" ht="12.75">
      <c r="E35" s="12"/>
    </row>
    <row r="36" ht="12.75">
      <c r="E36" s="12"/>
    </row>
    <row r="37" ht="12.75">
      <c r="E37" s="12"/>
    </row>
    <row r="38" ht="12.75">
      <c r="E38" s="12"/>
    </row>
    <row r="39" ht="12.75">
      <c r="E39" s="12"/>
    </row>
    <row r="40" ht="12.75">
      <c r="E40" s="12"/>
    </row>
    <row r="41" ht="12.75">
      <c r="E41" s="12"/>
    </row>
  </sheetData>
  <sheetProtection/>
  <mergeCells count="1">
    <mergeCell ref="B10:E10"/>
  </mergeCells>
  <printOptions/>
  <pageMargins left="0.3937007874015748" right="0.3937007874015748" top="0.3937007874015748" bottom="0.3937007874015748" header="0" footer="0.5118110236220472"/>
  <pageSetup orientation="landscape" paperSize="9" r:id="rId2"/>
  <ignoredErrors>
    <ignoredError sqref="G6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8" sqref="L18"/>
    </sheetView>
  </sheetViews>
  <sheetFormatPr defaultColWidth="9.140625" defaultRowHeight="12.75"/>
  <sheetData/>
  <sheetProtection/>
  <printOptions/>
  <pageMargins left="0.3937007874015748" right="0.3937007874015748" top="0.3937007874015748" bottom="0.3937007874015748" header="0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1"/>
  <sheetViews>
    <sheetView zoomScalePageLayoutView="0" workbookViewId="0" topLeftCell="A124">
      <selection activeCell="D2" sqref="D2"/>
    </sheetView>
  </sheetViews>
  <sheetFormatPr defaultColWidth="9.140625" defaultRowHeight="12.75"/>
  <cols>
    <col min="1" max="4" width="6.7109375" style="0" customWidth="1"/>
  </cols>
  <sheetData>
    <row r="2" spans="1:4" ht="12.75">
      <c r="A2" t="s">
        <v>0</v>
      </c>
      <c r="B2">
        <f>dati!F3</f>
        <v>2</v>
      </c>
      <c r="C2">
        <f>dati!G3</f>
        <v>4</v>
      </c>
      <c r="D2">
        <f>dati!H3</f>
        <v>24</v>
      </c>
    </row>
    <row r="4" spans="2:4" ht="12.75">
      <c r="B4" s="14" t="s">
        <v>15</v>
      </c>
      <c r="C4" s="14"/>
      <c r="D4" s="14"/>
    </row>
    <row r="5" spans="2:4" ht="12.75">
      <c r="B5" s="20" t="s">
        <v>16</v>
      </c>
      <c r="C5" s="20" t="s">
        <v>19</v>
      </c>
      <c r="D5" s="14"/>
    </row>
    <row r="6" spans="2:4" ht="12.75">
      <c r="B6" s="20">
        <f>dati!$F$1*dati!Q12</f>
        <v>0</v>
      </c>
      <c r="C6" s="20">
        <f>dati!$F$1*dati!R12</f>
        <v>0</v>
      </c>
      <c r="D6" s="14"/>
    </row>
    <row r="7" spans="2:4" ht="12.75">
      <c r="B7" s="20">
        <f>dati!$F$1*dati!Q13</f>
        <v>0.2681148782605307</v>
      </c>
      <c r="C7" s="20">
        <f>dati!$F$1*dati!R13</f>
        <v>2.8964214949138496</v>
      </c>
      <c r="D7" s="14"/>
    </row>
    <row r="8" spans="2:4" ht="12.75">
      <c r="B8" s="20">
        <f>dati!$F$1*dati!Q14</f>
        <v>1.3679003262680254</v>
      </c>
      <c r="C8" s="20">
        <f>dati!$F$1*dati!R14</f>
        <v>5.743481768861027</v>
      </c>
      <c r="D8" s="14"/>
    </row>
    <row r="9" spans="2:4" ht="12.75">
      <c r="B9" s="20">
        <f>dati!$F$1*dati!Q15</f>
        <v>3.304804703425336</v>
      </c>
      <c r="C9" s="20">
        <f>dati!$F$1*dati!R15</f>
        <v>8.521701007708113</v>
      </c>
      <c r="D9" s="14"/>
    </row>
    <row r="10" spans="2:4" ht="12.75">
      <c r="B10" s="20">
        <f>dati!$F$1*dati!Q16</f>
        <v>6.08406979144328</v>
      </c>
      <c r="C10" s="20">
        <f>dati!$F$1*dati!R16</f>
        <v>11.199426856816034</v>
      </c>
      <c r="D10" s="14"/>
    </row>
    <row r="11" spans="2:4" ht="12.75">
      <c r="B11" s="20">
        <f>dati!$F$1*dati!Q17</f>
        <v>9.710448608099483</v>
      </c>
      <c r="C11" s="20">
        <f>dati!$F$1*dati!R17</f>
        <v>13.734288201530774</v>
      </c>
      <c r="D11" s="14"/>
    </row>
    <row r="12" spans="2:4" ht="12.75">
      <c r="B12" s="20">
        <f>dati!$F$1*dati!Q18</f>
        <v>14.187849222260816</v>
      </c>
      <c r="C12" s="20">
        <f>dati!$F$1*dati!R18</f>
        <v>16.0751313610112</v>
      </c>
      <c r="D12" s="14"/>
    </row>
    <row r="13" spans="2:4" ht="12.75">
      <c r="B13" s="20">
        <f>dati!$F$1*dati!Q19</f>
        <v>19.518941066575266</v>
      </c>
      <c r="C13" s="20">
        <f>dati!$F$1*dati!R19</f>
        <v>18.16433211787517</v>
      </c>
      <c r="D13" s="14"/>
    </row>
    <row r="14" spans="2:4" ht="12.75">
      <c r="B14" s="20">
        <f>dati!$F$1*dati!Q20</f>
        <v>25.704765632058432</v>
      </c>
      <c r="C14" s="20">
        <f>dati!$F$1*dati!R20</f>
        <v>19.94034559805243</v>
      </c>
      <c r="D14" s="14"/>
    </row>
    <row r="15" spans="2:4" ht="12.75">
      <c r="B15" s="20">
        <f>dati!$F$1*dati!Q21</f>
        <v>32.744394931414696</v>
      </c>
      <c r="C15" s="20">
        <f>dati!$F$1*dati!R21</f>
        <v>21.34032402022757</v>
      </c>
      <c r="D15" s="14"/>
    </row>
    <row r="16" spans="2:4" ht="12.75">
      <c r="B16" s="20">
        <f>dati!$F$1*dati!Q22</f>
        <v>40.634677816615735</v>
      </c>
      <c r="C16" s="20">
        <f>dati!$F$1*dati!R22</f>
        <v>22.302599780494074</v>
      </c>
      <c r="D16" s="14"/>
    </row>
    <row r="17" spans="2:4" ht="12.75">
      <c r="B17" s="20">
        <f>dati!$F$1*dati!Q23</f>
        <v>49.3701051929243</v>
      </c>
      <c r="C17" s="20">
        <f>dati!$F$1*dati!R23</f>
        <v>22.768798353006932</v>
      </c>
      <c r="D17" s="14"/>
    </row>
    <row r="18" spans="2:4" ht="12.75">
      <c r="B18" s="20">
        <f>dati!$F$1*dati!Q24</f>
        <v>58.94280943840338</v>
      </c>
      <c r="C18" s="20">
        <f>dati!$F$1*dati!R24</f>
        <v>22.685312319322595</v>
      </c>
      <c r="D18" s="14"/>
    </row>
    <row r="19" spans="2:4" ht="12.75">
      <c r="B19" s="20">
        <f>dati!$F$1*dati!Q25</f>
        <v>69.34268997406596</v>
      </c>
      <c r="C19" s="20">
        <f>dati!$F$1*dati!R25</f>
        <v>22.009600501227712</v>
      </c>
      <c r="D19" s="14"/>
    </row>
    <row r="20" spans="2:4" ht="12.75">
      <c r="B20" s="20">
        <f>dati!$F$1*dati!Q26</f>
        <v>80.55762502583158</v>
      </c>
      <c r="C20" s="20">
        <f>dati!$F$1*dati!R26</f>
        <v>20.772868962808477</v>
      </c>
      <c r="D20" s="14"/>
    </row>
    <row r="21" spans="2:4" ht="12.75">
      <c r="B21" s="20">
        <f>dati!$F$1*dati!Q27</f>
        <v>92.57368833134197</v>
      </c>
      <c r="C21" s="20">
        <f>dati!$F$1*dati!R27</f>
        <v>18.974835265210846</v>
      </c>
      <c r="D21" s="14"/>
    </row>
    <row r="22" spans="2:4" ht="12.75">
      <c r="B22" s="20">
        <f>dati!$F$1*dati!Q28</f>
        <v>105.375238137346</v>
      </c>
      <c r="C22" s="20">
        <f>dati!$F$1*dati!R28</f>
        <v>16.596471244866226</v>
      </c>
      <c r="D22" s="14"/>
    </row>
    <row r="23" spans="2:4" ht="12.75">
      <c r="B23" s="20">
        <f>dati!$F$1*dati!Q29</f>
        <v>118.94468373421792</v>
      </c>
      <c r="C23" s="20">
        <f>dati!$F$1*dati!R29</f>
        <v>13.611363852692874</v>
      </c>
      <c r="D23" s="14"/>
    </row>
    <row r="24" spans="2:4" ht="12.75">
      <c r="B24" s="20">
        <f>dati!$F$1*dati!Q30</f>
        <v>133.26166163619982</v>
      </c>
      <c r="C24" s="20">
        <f>dati!$F$1*dati!R30</f>
        <v>9.975966343194168</v>
      </c>
      <c r="D24" s="14"/>
    </row>
    <row r="25" spans="2:4" ht="12.75">
      <c r="B25" s="20">
        <f>dati!$F$1*dati!Q31</f>
        <v>148.3012692887149</v>
      </c>
      <c r="C25" s="20">
        <f>dati!$F$1*dati!R31</f>
        <v>5.616510504416434</v>
      </c>
      <c r="D25" s="14"/>
    </row>
    <row r="26" spans="2:4" ht="12.75">
      <c r="B26" s="20">
        <f>dati!$F$1*dati!Q32</f>
        <v>164.0309091898093</v>
      </c>
      <c r="C26" s="20">
        <f>dati!$F$1*dati!R32</f>
        <v>0.412122530790694</v>
      </c>
      <c r="D26" s="14"/>
    </row>
    <row r="29" spans="2:4" ht="12.75">
      <c r="B29" s="14" t="s">
        <v>17</v>
      </c>
      <c r="C29" s="14"/>
      <c r="D29" s="14"/>
    </row>
    <row r="30" spans="2:4" ht="12.75">
      <c r="B30" s="20" t="s">
        <v>16</v>
      </c>
      <c r="C30" s="20" t="s">
        <v>18</v>
      </c>
      <c r="D30" s="14"/>
    </row>
    <row r="31" spans="2:4" ht="12.75">
      <c r="B31" s="20">
        <f>B6</f>
        <v>0</v>
      </c>
      <c r="C31" s="20">
        <f>dati!$F$1*dati!S12</f>
        <v>0</v>
      </c>
      <c r="D31" s="14"/>
    </row>
    <row r="32" spans="2:4" ht="12.75">
      <c r="B32" s="20">
        <f aca="true" t="shared" si="0" ref="B32:B51">B7</f>
        <v>0.2681148782605307</v>
      </c>
      <c r="C32" s="20">
        <f>dati!$F$1*dati!S13</f>
        <v>-2.81467774491385</v>
      </c>
      <c r="D32" s="14"/>
    </row>
    <row r="33" spans="2:4" ht="12.75">
      <c r="B33" s="20">
        <f t="shared" si="0"/>
        <v>1.3679003262680254</v>
      </c>
      <c r="C33" s="20">
        <f>dati!$F$1*dati!S14</f>
        <v>-5.419581768861027</v>
      </c>
      <c r="D33" s="14"/>
    </row>
    <row r="34" spans="2:4" ht="12.75">
      <c r="B34" s="20">
        <f t="shared" si="0"/>
        <v>3.304804703425336</v>
      </c>
      <c r="C34" s="20">
        <f>dati!$F$1*dati!S15</f>
        <v>-7.8044572577081155</v>
      </c>
      <c r="D34" s="14"/>
    </row>
    <row r="35" spans="2:4" ht="12.75">
      <c r="B35" s="20">
        <f t="shared" si="0"/>
        <v>6.08406979144328</v>
      </c>
      <c r="C35" s="20">
        <f>dati!$F$1*dati!S16</f>
        <v>-9.953026856816034</v>
      </c>
      <c r="D35" s="14"/>
    </row>
    <row r="36" spans="2:4" ht="12.75">
      <c r="B36" s="20">
        <f t="shared" si="0"/>
        <v>9.710448608099483</v>
      </c>
      <c r="C36" s="20">
        <f>dati!$F$1*dati!S17</f>
        <v>-11.844444451530773</v>
      </c>
      <c r="D36" s="14"/>
    </row>
    <row r="37" spans="2:4" ht="12.75">
      <c r="B37" s="20">
        <f t="shared" si="0"/>
        <v>14.187849222260816</v>
      </c>
      <c r="C37" s="20">
        <f>dati!$F$1*dati!S18</f>
        <v>-13.455231361011199</v>
      </c>
      <c r="D37" s="14"/>
    </row>
    <row r="38" spans="2:4" ht="12.75">
      <c r="B38" s="20">
        <f t="shared" si="0"/>
        <v>19.518941066575266</v>
      </c>
      <c r="C38" s="20">
        <f>dati!$F$1*dati!S19</f>
        <v>-14.761588367875172</v>
      </c>
      <c r="D38" s="14"/>
    </row>
    <row r="39" spans="2:4" ht="12.75">
      <c r="B39" s="20">
        <f t="shared" si="0"/>
        <v>25.704765632058432</v>
      </c>
      <c r="C39" s="20">
        <f>dati!$F$1*dati!S20</f>
        <v>-15.741945598052434</v>
      </c>
      <c r="D39" s="14"/>
    </row>
    <row r="40" spans="2:4" ht="12.75">
      <c r="B40" s="20">
        <f t="shared" si="0"/>
        <v>32.744394931414696</v>
      </c>
      <c r="C40" s="20">
        <f>dati!$F$1*dati!S21</f>
        <v>-16.37958027022757</v>
      </c>
      <c r="D40" s="14"/>
    </row>
    <row r="41" spans="2:4" ht="12.75">
      <c r="B41" s="20">
        <f t="shared" si="0"/>
        <v>40.634677816615735</v>
      </c>
      <c r="C41" s="20">
        <f>dati!$F$1*dati!S22</f>
        <v>-16.665099780494074</v>
      </c>
      <c r="D41" s="14"/>
    </row>
    <row r="42" spans="2:4" ht="12.75">
      <c r="B42" s="20">
        <f t="shared" si="0"/>
        <v>49.3701051929243</v>
      </c>
      <c r="C42" s="20">
        <f>dati!$F$1*dati!S23</f>
        <v>-16.59855460300693</v>
      </c>
      <c r="D42" s="14"/>
    </row>
    <row r="43" spans="2:4" ht="12.75">
      <c r="B43" s="20">
        <f t="shared" si="0"/>
        <v>58.94280943840338</v>
      </c>
      <c r="C43" s="20">
        <f>dati!$F$1*dati!S24</f>
        <v>-16.190912319322596</v>
      </c>
      <c r="D43" s="14"/>
    </row>
    <row r="44" spans="2:4" ht="12.75">
      <c r="B44" s="20">
        <f t="shared" si="0"/>
        <v>69.34268997406596</v>
      </c>
      <c r="C44" s="20">
        <f>dati!$F$1*dati!S25</f>
        <v>-15.458825501227713</v>
      </c>
      <c r="D44" s="14"/>
    </row>
    <row r="45" spans="2:4" ht="12.75">
      <c r="B45" s="20">
        <f t="shared" si="0"/>
        <v>80.55762502583158</v>
      </c>
      <c r="C45" s="20">
        <f>dati!$F$1*dati!S26</f>
        <v>-14.360468962808481</v>
      </c>
      <c r="D45" s="14"/>
    </row>
    <row r="46" spans="2:4" ht="12.75">
      <c r="B46" s="20">
        <f t="shared" si="0"/>
        <v>92.57368833134197</v>
      </c>
      <c r="C46" s="20">
        <f>dati!$F$1*dati!S27</f>
        <v>-12.896015820766403</v>
      </c>
      <c r="D46" s="14"/>
    </row>
    <row r="47" spans="2:4" ht="12.75">
      <c r="B47" s="20">
        <f t="shared" si="0"/>
        <v>105.375238137346</v>
      </c>
      <c r="C47" s="20">
        <f>dati!$F$1*dati!S28</f>
        <v>-11.086071244866227</v>
      </c>
      <c r="D47" s="14"/>
    </row>
    <row r="48" spans="2:4" ht="12.75">
      <c r="B48" s="20">
        <f t="shared" si="0"/>
        <v>118.94468373421792</v>
      </c>
      <c r="C48" s="20">
        <f>dati!$F$1*dati!S29</f>
        <v>-8.946588852692873</v>
      </c>
      <c r="D48" s="14"/>
    </row>
    <row r="49" spans="2:4" ht="12.75">
      <c r="B49" s="20">
        <f t="shared" si="0"/>
        <v>133.26166163619982</v>
      </c>
      <c r="C49" s="20">
        <f>dati!$F$1*dati!S30</f>
        <v>-6.4791218987497246</v>
      </c>
      <c r="D49" s="14"/>
    </row>
    <row r="50" spans="2:4" ht="12.75">
      <c r="B50" s="20">
        <f t="shared" si="0"/>
        <v>148.3012692887149</v>
      </c>
      <c r="C50" s="20">
        <f>dati!$F$1*dati!S31</f>
        <v>-3.6577355044164346</v>
      </c>
      <c r="D50" s="14"/>
    </row>
    <row r="51" spans="2:4" ht="12.75">
      <c r="B51" s="20">
        <f t="shared" si="0"/>
        <v>164.0309091898093</v>
      </c>
      <c r="C51" s="20">
        <f>dati!$F$1*dati!S32</f>
        <v>-0.412122530790694</v>
      </c>
      <c r="D51" s="14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25" sqref="C25"/>
    </sheetView>
  </sheetViews>
  <sheetFormatPr defaultColWidth="9.140625" defaultRowHeight="12.75"/>
  <cols>
    <col min="2" max="2" width="11.00390625" style="0" bestFit="1" customWidth="1"/>
  </cols>
  <sheetData>
    <row r="1" spans="1:2" ht="12.75">
      <c r="A1">
        <v>1</v>
      </c>
      <c r="B1">
        <f>(A1/20)^3</f>
        <v>0.00012500000000000003</v>
      </c>
    </row>
    <row r="2" spans="1:3" ht="12.75">
      <c r="A2">
        <f>A1+1</f>
        <v>2</v>
      </c>
      <c r="B2">
        <f aca="true" t="shared" si="0" ref="B2:B20">(A2/20)^3</f>
        <v>0.0010000000000000002</v>
      </c>
      <c r="C2">
        <f>(B2-B1)*100</f>
        <v>0.08750000000000002</v>
      </c>
    </row>
    <row r="3" spans="1:3" ht="12.75">
      <c r="A3">
        <f aca="true" t="shared" si="1" ref="A3:A20">A2+1</f>
        <v>3</v>
      </c>
      <c r="B3">
        <f t="shared" si="0"/>
        <v>0.003375</v>
      </c>
      <c r="C3">
        <f aca="true" t="shared" si="2" ref="C3:C20">(B3-B2)*100</f>
        <v>0.23749999999999996</v>
      </c>
    </row>
    <row r="4" spans="1:3" ht="12.75">
      <c r="A4">
        <f t="shared" si="1"/>
        <v>4</v>
      </c>
      <c r="B4">
        <f t="shared" si="0"/>
        <v>0.008000000000000002</v>
      </c>
      <c r="C4">
        <f t="shared" si="2"/>
        <v>0.46250000000000024</v>
      </c>
    </row>
    <row r="5" spans="1:3" ht="12.75">
      <c r="A5">
        <f t="shared" si="1"/>
        <v>5</v>
      </c>
      <c r="B5">
        <f t="shared" si="0"/>
        <v>0.015625</v>
      </c>
      <c r="C5">
        <f t="shared" si="2"/>
        <v>0.7624999999999998</v>
      </c>
    </row>
    <row r="6" spans="1:3" ht="12.75">
      <c r="A6">
        <f t="shared" si="1"/>
        <v>6</v>
      </c>
      <c r="B6">
        <f t="shared" si="0"/>
        <v>0.027</v>
      </c>
      <c r="C6">
        <f t="shared" si="2"/>
        <v>1.1375</v>
      </c>
    </row>
    <row r="7" spans="1:3" ht="12.75">
      <c r="A7">
        <f t="shared" si="1"/>
        <v>7</v>
      </c>
      <c r="B7">
        <f t="shared" si="0"/>
        <v>0.04287499999999999</v>
      </c>
      <c r="C7">
        <f t="shared" si="2"/>
        <v>1.587499999999999</v>
      </c>
    </row>
    <row r="8" spans="1:3" ht="12.75">
      <c r="A8">
        <f t="shared" si="1"/>
        <v>8</v>
      </c>
      <c r="B8">
        <f t="shared" si="0"/>
        <v>0.06400000000000002</v>
      </c>
      <c r="C8">
        <f t="shared" si="2"/>
        <v>2.1125000000000025</v>
      </c>
    </row>
    <row r="9" spans="1:3" ht="12.75">
      <c r="A9">
        <f t="shared" si="1"/>
        <v>9</v>
      </c>
      <c r="B9">
        <f t="shared" si="0"/>
        <v>0.09112500000000001</v>
      </c>
      <c r="C9">
        <f t="shared" si="2"/>
        <v>2.7124999999999995</v>
      </c>
    </row>
    <row r="10" spans="1:3" ht="12.75">
      <c r="A10">
        <f t="shared" si="1"/>
        <v>10</v>
      </c>
      <c r="B10">
        <f t="shared" si="0"/>
        <v>0.125</v>
      </c>
      <c r="C10">
        <f t="shared" si="2"/>
        <v>3.387499999999999</v>
      </c>
    </row>
    <row r="11" spans="1:3" ht="12.75">
      <c r="A11">
        <f t="shared" si="1"/>
        <v>11</v>
      </c>
      <c r="B11">
        <f t="shared" si="0"/>
        <v>0.16637500000000005</v>
      </c>
      <c r="C11">
        <f t="shared" si="2"/>
        <v>4.137500000000005</v>
      </c>
    </row>
    <row r="12" spans="1:3" ht="12.75">
      <c r="A12">
        <f t="shared" si="1"/>
        <v>12</v>
      </c>
      <c r="B12">
        <f t="shared" si="0"/>
        <v>0.216</v>
      </c>
      <c r="C12">
        <f t="shared" si="2"/>
        <v>4.962499999999995</v>
      </c>
    </row>
    <row r="13" spans="1:3" ht="12.75">
      <c r="A13">
        <f t="shared" si="1"/>
        <v>13</v>
      </c>
      <c r="B13">
        <f t="shared" si="0"/>
        <v>0.27462500000000006</v>
      </c>
      <c r="C13">
        <f t="shared" si="2"/>
        <v>5.862500000000007</v>
      </c>
    </row>
    <row r="14" spans="1:3" ht="12.75">
      <c r="A14">
        <f t="shared" si="1"/>
        <v>14</v>
      </c>
      <c r="B14">
        <f t="shared" si="0"/>
        <v>0.3429999999999999</v>
      </c>
      <c r="C14">
        <f t="shared" si="2"/>
        <v>6.837499999999985</v>
      </c>
    </row>
    <row r="15" spans="1:3" ht="12.75">
      <c r="A15">
        <f t="shared" si="1"/>
        <v>15</v>
      </c>
      <c r="B15">
        <f t="shared" si="0"/>
        <v>0.421875</v>
      </c>
      <c r="C15">
        <f t="shared" si="2"/>
        <v>7.887500000000008</v>
      </c>
    </row>
    <row r="16" spans="1:3" ht="12.75">
      <c r="A16">
        <f t="shared" si="1"/>
        <v>16</v>
      </c>
      <c r="B16">
        <f t="shared" si="0"/>
        <v>0.5120000000000001</v>
      </c>
      <c r="C16">
        <f t="shared" si="2"/>
        <v>9.012500000000012</v>
      </c>
    </row>
    <row r="17" spans="1:3" ht="12.75">
      <c r="A17">
        <f t="shared" si="1"/>
        <v>17</v>
      </c>
      <c r="B17">
        <f t="shared" si="0"/>
        <v>0.6141249999999999</v>
      </c>
      <c r="C17">
        <f t="shared" si="2"/>
        <v>10.21249999999998</v>
      </c>
    </row>
    <row r="18" spans="1:3" ht="12.75">
      <c r="A18">
        <f t="shared" si="1"/>
        <v>18</v>
      </c>
      <c r="B18">
        <f t="shared" si="0"/>
        <v>0.7290000000000001</v>
      </c>
      <c r="C18">
        <f t="shared" si="2"/>
        <v>11.487500000000017</v>
      </c>
    </row>
    <row r="19" spans="1:3" ht="12.75">
      <c r="A19">
        <f t="shared" si="1"/>
        <v>19</v>
      </c>
      <c r="B19">
        <f t="shared" si="0"/>
        <v>0.8573749999999999</v>
      </c>
      <c r="C19">
        <f t="shared" si="2"/>
        <v>12.837499999999979</v>
      </c>
    </row>
    <row r="20" spans="1:3" ht="12.75">
      <c r="A20">
        <f t="shared" si="1"/>
        <v>20</v>
      </c>
      <c r="B20">
        <f t="shared" si="0"/>
        <v>1</v>
      </c>
      <c r="C20">
        <f t="shared" si="2"/>
        <v>14.262500000000012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labaero</cp:lastModifiedBy>
  <cp:lastPrinted>2009-04-20T09:31:10Z</cp:lastPrinted>
  <dcterms:created xsi:type="dcterms:W3CDTF">2006-10-17T08:45:26Z</dcterms:created>
  <dcterms:modified xsi:type="dcterms:W3CDTF">2012-03-31T11:14:49Z</dcterms:modified>
  <cp:category/>
  <cp:version/>
  <cp:contentType/>
  <cp:contentStatus/>
</cp:coreProperties>
</file>